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2.xml" ContentType="application/vnd.openxmlformats-officedocument.drawing+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docs.live.net/7349FBAA6885DA77/Documents/"/>
    </mc:Choice>
  </mc:AlternateContent>
  <xr:revisionPtr revIDLastSave="47" documentId="8_{78550F02-9B55-4C5F-A177-9BFEC67D76A2}" xr6:coauthVersionLast="47" xr6:coauthVersionMax="47" xr10:uidLastSave="{F4AEED10-6FF4-4F3D-8015-32C41B0BBE04}"/>
  <bookViews>
    <workbookView xWindow="-98" yWindow="-98" windowWidth="21795" windowHeight="13695" tabRatio="821" xr2:uid="{68FDC6FD-8E87-4909-9839-58C4FAFC4127}"/>
  </bookViews>
  <sheets>
    <sheet name="cover" sheetId="11" r:id="rId1"/>
    <sheet name="dcf" sheetId="1" r:id="rId2"/>
    <sheet name="wacc" sheetId="10" r:id="rId3"/>
    <sheet name="cf" sheetId="5" r:id="rId4"/>
    <sheet name="segments " sheetId="3" r:id="rId5"/>
    <sheet name="is" sheetId="9" r:id="rId6"/>
    <sheet name="segments (raw)" sheetId="2" r:id="rId7"/>
    <sheet name="is (raw)" sheetId="7" r:id="rId8"/>
    <sheet name="cf (raw)" sheetId="6"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H35" i="11" l="1" a="1"/>
  <c r="H35" i="11" s="1"/>
  <c r="G35" i="11" a="1"/>
  <c r="G35" i="11" s="1"/>
  <c r="F35" i="11" a="1"/>
  <c r="F35" i="11" s="1"/>
  <c r="E35" i="11" a="1"/>
  <c r="E35" i="11" s="1"/>
  <c r="D35" i="11" a="1"/>
  <c r="D35" i="11" s="1"/>
  <c r="H34" i="11" a="1"/>
  <c r="H34" i="11" s="1"/>
  <c r="G34" i="11" a="1"/>
  <c r="G34" i="11" s="1"/>
  <c r="F34" i="11" a="1"/>
  <c r="F34" i="11" s="1"/>
  <c r="E34" i="11" a="1"/>
  <c r="E34" i="11" s="1"/>
  <c r="D34" i="11" a="1"/>
  <c r="D34" i="11" s="1"/>
  <c r="C35" i="11"/>
  <c r="C34" i="11"/>
  <c r="Q100" i="1"/>
  <c r="P100" i="1"/>
  <c r="O100" i="1"/>
  <c r="N100" i="1"/>
  <c r="M100" i="1"/>
  <c r="L100" i="1"/>
  <c r="K100" i="1"/>
  <c r="J100" i="1"/>
  <c r="I100" i="1"/>
  <c r="H100" i="1"/>
  <c r="Q99" i="1"/>
  <c r="P99" i="1"/>
  <c r="O99" i="1"/>
  <c r="N99" i="1"/>
  <c r="M99" i="1"/>
  <c r="L99" i="1"/>
  <c r="K99" i="1"/>
  <c r="J99" i="1"/>
  <c r="I99" i="1"/>
  <c r="H99" i="1"/>
  <c r="Q98" i="1"/>
  <c r="P98" i="1"/>
  <c r="O98" i="1"/>
  <c r="N98" i="1"/>
  <c r="M98" i="1"/>
  <c r="L98" i="1"/>
  <c r="K98" i="1"/>
  <c r="J98" i="1"/>
  <c r="I98" i="1"/>
  <c r="H98" i="1"/>
  <c r="J43" i="3"/>
  <c r="H26" i="1" l="1"/>
  <c r="H22" i="1"/>
  <c r="H18" i="1"/>
  <c r="H14" i="1"/>
  <c r="Q48" i="1"/>
  <c r="Q52" i="1"/>
  <c r="P52" i="1"/>
  <c r="O52" i="1"/>
  <c r="N52" i="1"/>
  <c r="M52" i="1"/>
  <c r="L52" i="1"/>
  <c r="K52" i="1"/>
  <c r="J52" i="1"/>
  <c r="I52" i="1"/>
  <c r="H52" i="1"/>
  <c r="G52" i="1"/>
  <c r="H44" i="1"/>
  <c r="H40" i="1"/>
  <c r="P36" i="1"/>
  <c r="O36" i="1"/>
  <c r="N36" i="1"/>
  <c r="M36" i="1"/>
  <c r="L36" i="1"/>
  <c r="K36" i="1"/>
  <c r="J36" i="1"/>
  <c r="I36" i="1"/>
  <c r="Q36" i="1"/>
  <c r="H36" i="1"/>
  <c r="J56" i="3"/>
  <c r="J30" i="3"/>
  <c r="J17" i="3"/>
  <c r="I22" i="3"/>
  <c r="J22" i="3" s="1"/>
  <c r="I48" i="3"/>
  <c r="J48" i="3" s="1"/>
  <c r="I35" i="3"/>
  <c r="J35" i="3" s="1"/>
  <c r="I9" i="3"/>
  <c r="J9" i="3" s="1"/>
  <c r="C11" i="11"/>
  <c r="M3" i="11"/>
  <c r="D18" i="10"/>
  <c r="G67" i="1"/>
  <c r="F67" i="1"/>
  <c r="E67" i="1"/>
  <c r="D67" i="1"/>
  <c r="C67" i="1"/>
  <c r="P68" i="1"/>
  <c r="O68" i="1"/>
  <c r="N68" i="1"/>
  <c r="M68" i="1"/>
  <c r="L68" i="1"/>
  <c r="K68" i="1"/>
  <c r="J68" i="1"/>
  <c r="I68" i="1"/>
  <c r="I103" i="1"/>
  <c r="H103" i="1"/>
  <c r="D8" i="1"/>
  <c r="D9" i="1"/>
  <c r="G54" i="1"/>
  <c r="F54" i="1"/>
  <c r="E54" i="1"/>
  <c r="D54" i="1"/>
  <c r="C54" i="1"/>
  <c r="G53" i="1"/>
  <c r="F53" i="1"/>
  <c r="E53" i="1"/>
  <c r="D53" i="1"/>
  <c r="C53" i="1"/>
  <c r="F52" i="1"/>
  <c r="E52" i="1"/>
  <c r="D52" i="1"/>
  <c r="C52" i="1"/>
  <c r="G51" i="1"/>
  <c r="F51" i="1"/>
  <c r="E51" i="1"/>
  <c r="D51" i="1"/>
  <c r="C51" i="1"/>
  <c r="Q119" i="1"/>
  <c r="D20" i="10"/>
  <c r="D14" i="10" s="1"/>
  <c r="D15" i="10"/>
  <c r="E55" i="1" l="1"/>
  <c r="C55" i="1"/>
  <c r="D55" i="1"/>
  <c r="F55" i="1"/>
  <c r="G55" i="1"/>
  <c r="D9" i="10"/>
  <c r="D22" i="10"/>
  <c r="E2" i="1" s="1"/>
  <c r="Q106" i="1" l="1"/>
  <c r="C30" i="11"/>
  <c r="G67" i="5"/>
  <c r="F67" i="5"/>
  <c r="E67" i="5"/>
  <c r="D67" i="5"/>
  <c r="C67" i="5"/>
  <c r="G70" i="1"/>
  <c r="G95" i="1" s="1"/>
  <c r="F70" i="1"/>
  <c r="F95" i="1" s="1"/>
  <c r="E70" i="1"/>
  <c r="E95" i="1" s="1"/>
  <c r="D70" i="1"/>
  <c r="C70" i="1"/>
  <c r="P64" i="1"/>
  <c r="P90" i="1" s="1"/>
  <c r="O64" i="1"/>
  <c r="O90" i="1" s="1"/>
  <c r="N64" i="1"/>
  <c r="N90" i="1" s="1"/>
  <c r="M64" i="1"/>
  <c r="M90" i="1" s="1"/>
  <c r="L64" i="1"/>
  <c r="L90" i="1" s="1"/>
  <c r="K64" i="1"/>
  <c r="K90" i="1" s="1"/>
  <c r="J64" i="1"/>
  <c r="J90" i="1" s="1"/>
  <c r="I64" i="1"/>
  <c r="I90" i="1" s="1"/>
  <c r="G32" i="5"/>
  <c r="F32" i="5"/>
  <c r="E32" i="5"/>
  <c r="D32" i="5"/>
  <c r="C32" i="5"/>
  <c r="G62" i="5"/>
  <c r="G61" i="5"/>
  <c r="G57" i="5"/>
  <c r="G55" i="5"/>
  <c r="G51" i="5"/>
  <c r="G50" i="5"/>
  <c r="G49" i="5"/>
  <c r="G48" i="5"/>
  <c r="G44" i="5"/>
  <c r="G42" i="5"/>
  <c r="G52" i="5" s="1"/>
  <c r="G38" i="5"/>
  <c r="G37" i="5"/>
  <c r="G36" i="5"/>
  <c r="G35" i="5"/>
  <c r="G39" i="5" s="1"/>
  <c r="G29" i="5"/>
  <c r="G28" i="5"/>
  <c r="G27" i="5"/>
  <c r="G26" i="5"/>
  <c r="G25" i="5"/>
  <c r="G24" i="5"/>
  <c r="G23" i="5"/>
  <c r="G22" i="5"/>
  <c r="G21" i="5"/>
  <c r="G20" i="5"/>
  <c r="G18" i="5"/>
  <c r="G17" i="5"/>
  <c r="G14" i="5"/>
  <c r="G13" i="5"/>
  <c r="G12" i="5"/>
  <c r="G11" i="5"/>
  <c r="G10" i="5"/>
  <c r="G9" i="5"/>
  <c r="G63" i="1" s="1"/>
  <c r="G7" i="5"/>
  <c r="F62" i="5"/>
  <c r="F61" i="5"/>
  <c r="F57" i="5"/>
  <c r="F55" i="5"/>
  <c r="F51" i="5"/>
  <c r="F50" i="5"/>
  <c r="F49" i="5"/>
  <c r="F48" i="5"/>
  <c r="F44" i="5"/>
  <c r="F42" i="5"/>
  <c r="F52" i="5" s="1"/>
  <c r="F38" i="5"/>
  <c r="F37" i="5"/>
  <c r="F36" i="5"/>
  <c r="F35" i="5"/>
  <c r="F39" i="5" s="1"/>
  <c r="F29" i="5"/>
  <c r="F28" i="5"/>
  <c r="F27" i="5"/>
  <c r="F26" i="5"/>
  <c r="F25" i="5"/>
  <c r="F24" i="5"/>
  <c r="F23" i="5"/>
  <c r="F22" i="5"/>
  <c r="F21" i="5"/>
  <c r="F20" i="5"/>
  <c r="F18" i="5"/>
  <c r="F17" i="5"/>
  <c r="F14" i="5"/>
  <c r="F13" i="5"/>
  <c r="F12" i="5"/>
  <c r="F11" i="5"/>
  <c r="F10" i="5"/>
  <c r="F9" i="5"/>
  <c r="F63" i="1" s="1"/>
  <c r="F7" i="5"/>
  <c r="E62" i="5"/>
  <c r="E61" i="5"/>
  <c r="E57" i="5"/>
  <c r="E55" i="5"/>
  <c r="E54" i="5"/>
  <c r="E51" i="5"/>
  <c r="E50" i="5"/>
  <c r="E49" i="5"/>
  <c r="E48" i="5"/>
  <c r="E47" i="5"/>
  <c r="E46" i="5"/>
  <c r="E45" i="5"/>
  <c r="E44" i="5"/>
  <c r="E43" i="5"/>
  <c r="E42" i="5"/>
  <c r="E52" i="5" s="1"/>
  <c r="E38" i="5"/>
  <c r="E37" i="5"/>
  <c r="E36" i="5"/>
  <c r="E35" i="5"/>
  <c r="E29" i="5"/>
  <c r="E28" i="5"/>
  <c r="E27" i="5"/>
  <c r="E26" i="5"/>
  <c r="E25" i="5"/>
  <c r="E24" i="5"/>
  <c r="E23" i="5"/>
  <c r="E22" i="5"/>
  <c r="E21" i="5"/>
  <c r="E20" i="5"/>
  <c r="E18" i="5"/>
  <c r="E17" i="5"/>
  <c r="E16" i="5"/>
  <c r="E15" i="5"/>
  <c r="E14" i="5"/>
  <c r="E13" i="5"/>
  <c r="E12" i="5"/>
  <c r="E11" i="5"/>
  <c r="E10" i="5"/>
  <c r="E9" i="5"/>
  <c r="E63" i="1" s="1"/>
  <c r="E89" i="1" s="1"/>
  <c r="E7" i="5"/>
  <c r="D62" i="5"/>
  <c r="D61" i="5"/>
  <c r="D57" i="5"/>
  <c r="D55" i="5"/>
  <c r="D54" i="5"/>
  <c r="D51" i="5"/>
  <c r="D50" i="5"/>
  <c r="D49" i="5"/>
  <c r="D47" i="5"/>
  <c r="D46" i="5"/>
  <c r="D45" i="5"/>
  <c r="D44" i="5"/>
  <c r="D43" i="5"/>
  <c r="D42" i="5"/>
  <c r="D38" i="5"/>
  <c r="D37" i="5"/>
  <c r="D36" i="5"/>
  <c r="D35" i="5"/>
  <c r="D29" i="5"/>
  <c r="D28" i="5"/>
  <c r="D27" i="5"/>
  <c r="D26" i="5"/>
  <c r="D25" i="5"/>
  <c r="D24" i="5"/>
  <c r="D23" i="5"/>
  <c r="D22" i="5"/>
  <c r="D21" i="5"/>
  <c r="D20" i="5"/>
  <c r="D18" i="5"/>
  <c r="D17" i="5"/>
  <c r="D16" i="5"/>
  <c r="D15" i="5"/>
  <c r="D14" i="5"/>
  <c r="D13" i="5"/>
  <c r="D12" i="5"/>
  <c r="D11" i="5"/>
  <c r="D10" i="5"/>
  <c r="D9" i="5"/>
  <c r="D63" i="1" s="1"/>
  <c r="D7" i="5"/>
  <c r="C62" i="5"/>
  <c r="C61" i="5"/>
  <c r="C57" i="5"/>
  <c r="C55" i="5"/>
  <c r="C54" i="5"/>
  <c r="C51" i="5"/>
  <c r="C50" i="5"/>
  <c r="C49" i="5"/>
  <c r="C47" i="5"/>
  <c r="C46" i="5"/>
  <c r="C45" i="5"/>
  <c r="C44" i="5"/>
  <c r="C43" i="5"/>
  <c r="C42" i="5"/>
  <c r="C52" i="5" s="1"/>
  <c r="C38" i="5"/>
  <c r="C37" i="5"/>
  <c r="C36" i="5"/>
  <c r="C92" i="1" s="1"/>
  <c r="C35" i="5"/>
  <c r="C29" i="5"/>
  <c r="C28" i="5"/>
  <c r="C27" i="5"/>
  <c r="C26" i="5"/>
  <c r="C25" i="5"/>
  <c r="C24" i="5"/>
  <c r="C23" i="5"/>
  <c r="C22" i="5"/>
  <c r="C21" i="5"/>
  <c r="C20" i="5"/>
  <c r="C18" i="5"/>
  <c r="C17" i="5"/>
  <c r="C16" i="5"/>
  <c r="C15" i="5"/>
  <c r="C14" i="5"/>
  <c r="C13" i="5"/>
  <c r="C12" i="5"/>
  <c r="C11" i="5"/>
  <c r="C10" i="5"/>
  <c r="C9" i="5"/>
  <c r="C63" i="1" s="1"/>
  <c r="C89" i="1" s="1"/>
  <c r="C7" i="5"/>
  <c r="H48" i="1"/>
  <c r="H47" i="1" s="1"/>
  <c r="G48" i="1"/>
  <c r="P27" i="1"/>
  <c r="O27" i="1"/>
  <c r="N27" i="1"/>
  <c r="M27" i="1"/>
  <c r="L27" i="1"/>
  <c r="K27" i="1"/>
  <c r="J27" i="1"/>
  <c r="I26" i="1"/>
  <c r="G26" i="1"/>
  <c r="H27" i="1" s="1"/>
  <c r="P44" i="1"/>
  <c r="O44" i="1"/>
  <c r="N44" i="1"/>
  <c r="M44" i="1"/>
  <c r="L44" i="1"/>
  <c r="I44" i="1"/>
  <c r="I43" i="1" s="1"/>
  <c r="D84" i="1"/>
  <c r="P40" i="1"/>
  <c r="O40" i="1"/>
  <c r="N40" i="1"/>
  <c r="M40" i="1"/>
  <c r="L40" i="1"/>
  <c r="K40" i="1"/>
  <c r="J40" i="1"/>
  <c r="I40" i="1"/>
  <c r="P23" i="1"/>
  <c r="O23" i="1"/>
  <c r="N23" i="1"/>
  <c r="M23" i="1"/>
  <c r="L23" i="1"/>
  <c r="K23" i="1"/>
  <c r="P19" i="1"/>
  <c r="O19" i="1"/>
  <c r="N19" i="1"/>
  <c r="M19" i="1"/>
  <c r="L19" i="1"/>
  <c r="K19" i="1"/>
  <c r="K10" i="9"/>
  <c r="J10" i="9"/>
  <c r="I10" i="9"/>
  <c r="L9" i="9"/>
  <c r="G59" i="1"/>
  <c r="G60" i="1" s="1"/>
  <c r="F59" i="1"/>
  <c r="F60" i="1" s="1"/>
  <c r="E59" i="1"/>
  <c r="E60" i="1" s="1"/>
  <c r="D59" i="1"/>
  <c r="D60" i="1" s="1"/>
  <c r="C59" i="1"/>
  <c r="C60" i="1" s="1"/>
  <c r="G50" i="9"/>
  <c r="G49" i="9"/>
  <c r="G47" i="9"/>
  <c r="G46" i="9"/>
  <c r="G44" i="9"/>
  <c r="G43" i="9"/>
  <c r="G42" i="9"/>
  <c r="G41" i="9"/>
  <c r="G40" i="9"/>
  <c r="G39" i="9"/>
  <c r="G38" i="9"/>
  <c r="G36" i="9"/>
  <c r="G35" i="9"/>
  <c r="G34" i="9"/>
  <c r="G33" i="9"/>
  <c r="G30" i="9"/>
  <c r="G29" i="9"/>
  <c r="G27" i="9"/>
  <c r="G25" i="9"/>
  <c r="G24" i="9"/>
  <c r="G23" i="9"/>
  <c r="G22" i="9"/>
  <c r="G21" i="9"/>
  <c r="G18" i="9"/>
  <c r="G17" i="9"/>
  <c r="G15" i="9"/>
  <c r="G14" i="9"/>
  <c r="G13" i="9"/>
  <c r="G10" i="9"/>
  <c r="G9" i="9"/>
  <c r="G8" i="9"/>
  <c r="G7" i="9"/>
  <c r="F50" i="9"/>
  <c r="F49" i="9"/>
  <c r="F47" i="9"/>
  <c r="F46" i="9"/>
  <c r="F44" i="9"/>
  <c r="F43" i="9"/>
  <c r="F42" i="9"/>
  <c r="F41" i="9"/>
  <c r="F40" i="9"/>
  <c r="F39" i="9"/>
  <c r="F38" i="9"/>
  <c r="F36" i="9"/>
  <c r="F35" i="9"/>
  <c r="F34" i="9"/>
  <c r="F33" i="9"/>
  <c r="F30" i="9"/>
  <c r="F29" i="9"/>
  <c r="F27" i="9"/>
  <c r="F25" i="9"/>
  <c r="F24" i="9"/>
  <c r="F23" i="9"/>
  <c r="F22" i="9"/>
  <c r="F21" i="9"/>
  <c r="F18" i="9"/>
  <c r="F17" i="9"/>
  <c r="F15" i="9"/>
  <c r="F14" i="9"/>
  <c r="F13" i="9"/>
  <c r="F10" i="9"/>
  <c r="F9" i="9"/>
  <c r="F8" i="9"/>
  <c r="F7" i="9"/>
  <c r="E50" i="9"/>
  <c r="E49" i="9"/>
  <c r="E47" i="9"/>
  <c r="E46" i="9"/>
  <c r="E44" i="9"/>
  <c r="E43" i="9"/>
  <c r="E42" i="9"/>
  <c r="E41" i="9"/>
  <c r="E40" i="9"/>
  <c r="E39" i="9"/>
  <c r="E38" i="9"/>
  <c r="E36" i="9"/>
  <c r="E35" i="9"/>
  <c r="E34" i="9"/>
  <c r="E33" i="9"/>
  <c r="E30" i="9"/>
  <c r="E29" i="9"/>
  <c r="E27" i="9"/>
  <c r="E26" i="9"/>
  <c r="E25" i="9"/>
  <c r="E24" i="9"/>
  <c r="E23" i="9"/>
  <c r="E22" i="9"/>
  <c r="E21" i="9"/>
  <c r="E18" i="9"/>
  <c r="E17" i="9"/>
  <c r="E15" i="9"/>
  <c r="E14" i="9"/>
  <c r="E13" i="9"/>
  <c r="E10" i="9"/>
  <c r="E9" i="9"/>
  <c r="E8" i="9"/>
  <c r="E7" i="9"/>
  <c r="D50" i="9"/>
  <c r="D49" i="9"/>
  <c r="D47" i="9"/>
  <c r="D46" i="9"/>
  <c r="D44" i="9"/>
  <c r="D43" i="9"/>
  <c r="D42" i="9"/>
  <c r="D41" i="9"/>
  <c r="D40" i="9"/>
  <c r="D39" i="9"/>
  <c r="D38" i="9"/>
  <c r="D36" i="9"/>
  <c r="D35" i="9"/>
  <c r="D34" i="9"/>
  <c r="D33" i="9"/>
  <c r="D30" i="9"/>
  <c r="D29" i="9"/>
  <c r="D27" i="9"/>
  <c r="D26" i="9"/>
  <c r="D25" i="9"/>
  <c r="D24" i="9"/>
  <c r="D23" i="9"/>
  <c r="D22" i="9"/>
  <c r="D21" i="9"/>
  <c r="D18" i="9"/>
  <c r="D17" i="9"/>
  <c r="D15" i="9"/>
  <c r="D14" i="9"/>
  <c r="D13" i="9"/>
  <c r="D10" i="9"/>
  <c r="D9" i="9"/>
  <c r="D8" i="9"/>
  <c r="D7" i="9"/>
  <c r="C50" i="9"/>
  <c r="C49" i="9"/>
  <c r="C47" i="9"/>
  <c r="C46" i="9"/>
  <c r="C44" i="9"/>
  <c r="C43" i="9"/>
  <c r="C42" i="9"/>
  <c r="C41" i="9"/>
  <c r="C40" i="9"/>
  <c r="C39" i="9"/>
  <c r="C38" i="9"/>
  <c r="C36" i="9"/>
  <c r="C35" i="9"/>
  <c r="C34" i="9"/>
  <c r="C33" i="9"/>
  <c r="C30" i="9"/>
  <c r="C29" i="9"/>
  <c r="C27" i="9"/>
  <c r="C26" i="9"/>
  <c r="C25" i="9"/>
  <c r="C24" i="9"/>
  <c r="C23" i="9"/>
  <c r="C22" i="9"/>
  <c r="C21" i="9"/>
  <c r="C18" i="9"/>
  <c r="C17" i="9"/>
  <c r="C15" i="9"/>
  <c r="C14" i="9"/>
  <c r="C13" i="9"/>
  <c r="C9" i="9"/>
  <c r="C8" i="9"/>
  <c r="C7" i="9"/>
  <c r="G18" i="1"/>
  <c r="F18" i="1"/>
  <c r="E18" i="1"/>
  <c r="D18" i="1"/>
  <c r="C18" i="1"/>
  <c r="G43" i="1"/>
  <c r="G45" i="1" s="1"/>
  <c r="F43" i="1"/>
  <c r="F45" i="1" s="1"/>
  <c r="E43" i="1"/>
  <c r="E45" i="1" s="1"/>
  <c r="D43" i="1"/>
  <c r="D45" i="1" s="1"/>
  <c r="C43" i="1"/>
  <c r="C45" i="1" s="1"/>
  <c r="G39" i="1"/>
  <c r="G41" i="1" s="1"/>
  <c r="F39" i="1"/>
  <c r="F41" i="1" s="1"/>
  <c r="E39" i="1"/>
  <c r="E41" i="1" s="1"/>
  <c r="D39" i="1"/>
  <c r="D41" i="1" s="1"/>
  <c r="C39" i="1"/>
  <c r="C41" i="1" s="1"/>
  <c r="G35" i="1"/>
  <c r="F35" i="1"/>
  <c r="E35" i="1"/>
  <c r="D35" i="1"/>
  <c r="C35" i="1"/>
  <c r="G22" i="1"/>
  <c r="F22" i="1"/>
  <c r="E22" i="1"/>
  <c r="D22" i="1"/>
  <c r="C22" i="1"/>
  <c r="G14" i="1"/>
  <c r="F14" i="1"/>
  <c r="E14" i="1"/>
  <c r="D14" i="1"/>
  <c r="C14" i="1"/>
  <c r="C63" i="3"/>
  <c r="G67" i="3"/>
  <c r="G68" i="3" s="1"/>
  <c r="F67" i="3"/>
  <c r="F68" i="3" s="1"/>
  <c r="E68" i="3"/>
  <c r="D68" i="3"/>
  <c r="E67" i="3"/>
  <c r="D67" i="3"/>
  <c r="C67" i="3"/>
  <c r="G66" i="3"/>
  <c r="F66" i="3"/>
  <c r="E66" i="3"/>
  <c r="D66" i="3"/>
  <c r="C66" i="3"/>
  <c r="C68" i="3" s="1"/>
  <c r="G65" i="3"/>
  <c r="F65" i="3"/>
  <c r="E65" i="3"/>
  <c r="D65" i="3"/>
  <c r="C65" i="3"/>
  <c r="G64" i="3"/>
  <c r="F64" i="3"/>
  <c r="E64" i="3"/>
  <c r="G63" i="3"/>
  <c r="F63" i="3"/>
  <c r="E63" i="3"/>
  <c r="D63" i="3"/>
  <c r="G62" i="3"/>
  <c r="F62" i="3"/>
  <c r="E62" i="3"/>
  <c r="D62" i="3"/>
  <c r="G61" i="3"/>
  <c r="F61" i="3"/>
  <c r="E61" i="3"/>
  <c r="D61" i="3"/>
  <c r="C61" i="3"/>
  <c r="G60" i="3"/>
  <c r="F60" i="3"/>
  <c r="E60" i="3"/>
  <c r="D60" i="3"/>
  <c r="C60" i="3"/>
  <c r="G59" i="3"/>
  <c r="F59" i="3"/>
  <c r="E59" i="3"/>
  <c r="D59" i="3"/>
  <c r="C59" i="3"/>
  <c r="G56" i="3"/>
  <c r="G55" i="3"/>
  <c r="G54" i="3"/>
  <c r="G53" i="3"/>
  <c r="G52" i="3"/>
  <c r="G51" i="3"/>
  <c r="G50" i="3"/>
  <c r="G48" i="3"/>
  <c r="G47" i="3"/>
  <c r="G46" i="3"/>
  <c r="G43" i="3"/>
  <c r="F43" i="3"/>
  <c r="E43" i="3"/>
  <c r="D43" i="3"/>
  <c r="C43" i="3"/>
  <c r="G42" i="3"/>
  <c r="F42" i="3"/>
  <c r="E42" i="3"/>
  <c r="D42" i="3"/>
  <c r="C42" i="3"/>
  <c r="G41" i="3"/>
  <c r="F41" i="3"/>
  <c r="E41" i="3"/>
  <c r="G40" i="3"/>
  <c r="F40" i="3"/>
  <c r="E40" i="3"/>
  <c r="G39" i="3"/>
  <c r="F39" i="3"/>
  <c r="E39" i="3"/>
  <c r="D39" i="3"/>
  <c r="C39" i="3"/>
  <c r="G38" i="3"/>
  <c r="F38" i="3"/>
  <c r="E38" i="3"/>
  <c r="D38" i="3"/>
  <c r="C38" i="3"/>
  <c r="G37" i="3"/>
  <c r="F37" i="3"/>
  <c r="E37" i="3"/>
  <c r="G36" i="3"/>
  <c r="F36" i="3"/>
  <c r="E36" i="3"/>
  <c r="D36" i="3"/>
  <c r="G35" i="3"/>
  <c r="F35" i="3"/>
  <c r="E35" i="3"/>
  <c r="D35" i="3"/>
  <c r="C35" i="3"/>
  <c r="G34" i="3"/>
  <c r="F34" i="3"/>
  <c r="E34" i="3"/>
  <c r="D34" i="3"/>
  <c r="C34" i="3"/>
  <c r="G33" i="3"/>
  <c r="F33" i="3"/>
  <c r="E33" i="3"/>
  <c r="D33" i="3"/>
  <c r="C33" i="3"/>
  <c r="G30" i="3"/>
  <c r="F30" i="3"/>
  <c r="E30" i="3"/>
  <c r="D30" i="3"/>
  <c r="C30" i="3"/>
  <c r="G29" i="3"/>
  <c r="F29" i="3"/>
  <c r="E29" i="3"/>
  <c r="D29" i="3"/>
  <c r="C29" i="3"/>
  <c r="G28" i="3"/>
  <c r="F28" i="3"/>
  <c r="E28" i="3"/>
  <c r="G27" i="3"/>
  <c r="F27" i="3"/>
  <c r="E27" i="3"/>
  <c r="G26" i="3"/>
  <c r="F26" i="3"/>
  <c r="E26" i="3"/>
  <c r="D26" i="3"/>
  <c r="C26" i="3"/>
  <c r="G25" i="3"/>
  <c r="F25" i="3"/>
  <c r="E25" i="3"/>
  <c r="D25" i="3"/>
  <c r="C25" i="3"/>
  <c r="G24" i="3"/>
  <c r="F24" i="3"/>
  <c r="E24" i="3"/>
  <c r="G23" i="3"/>
  <c r="F23" i="3"/>
  <c r="E23" i="3"/>
  <c r="D23" i="3"/>
  <c r="G22" i="3"/>
  <c r="F22" i="3"/>
  <c r="E22" i="3"/>
  <c r="D22" i="3"/>
  <c r="C22" i="3"/>
  <c r="G21" i="3"/>
  <c r="F21" i="3"/>
  <c r="E21" i="3"/>
  <c r="D21" i="3"/>
  <c r="C21" i="3"/>
  <c r="G20" i="3"/>
  <c r="F20" i="3"/>
  <c r="E20" i="3"/>
  <c r="D20" i="3"/>
  <c r="C20" i="3"/>
  <c r="G16" i="3"/>
  <c r="F16" i="3"/>
  <c r="E16" i="3"/>
  <c r="D16" i="3"/>
  <c r="D17" i="3" s="1"/>
  <c r="C16" i="3"/>
  <c r="C17" i="3" s="1"/>
  <c r="G15" i="3"/>
  <c r="F15" i="3"/>
  <c r="E15" i="3"/>
  <c r="G14" i="3"/>
  <c r="F14" i="3"/>
  <c r="E14" i="3"/>
  <c r="D12" i="3"/>
  <c r="D13" i="3" s="1"/>
  <c r="C12" i="3"/>
  <c r="G11" i="3"/>
  <c r="F11" i="3"/>
  <c r="E11" i="3"/>
  <c r="G9" i="3"/>
  <c r="F9" i="3"/>
  <c r="E9" i="3"/>
  <c r="D9" i="3"/>
  <c r="E10" i="3" s="1"/>
  <c r="C9" i="3"/>
  <c r="C13" i="3" s="1"/>
  <c r="G8" i="3"/>
  <c r="F8" i="3"/>
  <c r="E8" i="3"/>
  <c r="D8" i="3"/>
  <c r="C8" i="3"/>
  <c r="G7" i="3"/>
  <c r="F7" i="3"/>
  <c r="E7" i="3"/>
  <c r="D7" i="3"/>
  <c r="C7" i="3"/>
  <c r="G12" i="3"/>
  <c r="G13" i="3" s="1"/>
  <c r="F12" i="3"/>
  <c r="F13" i="3" s="1"/>
  <c r="E12" i="3"/>
  <c r="E13" i="3" s="1"/>
  <c r="G17" i="3"/>
  <c r="F17" i="3"/>
  <c r="E17" i="3"/>
  <c r="D10" i="3"/>
  <c r="C82" i="1"/>
  <c r="H90" i="1"/>
  <c r="Q90" i="1"/>
  <c r="H93" i="1"/>
  <c r="I93" i="1"/>
  <c r="J93" i="1"/>
  <c r="K93" i="1"/>
  <c r="L93" i="1"/>
  <c r="M93" i="1"/>
  <c r="N93" i="1"/>
  <c r="O93" i="1"/>
  <c r="P93" i="1"/>
  <c r="Q93" i="1"/>
  <c r="C95" i="1"/>
  <c r="D95" i="1"/>
  <c r="J103" i="1"/>
  <c r="K103" i="1" s="1"/>
  <c r="L103" i="1" s="1"/>
  <c r="M103" i="1" s="1"/>
  <c r="N103" i="1" s="1"/>
  <c r="O103" i="1" s="1"/>
  <c r="P103" i="1" s="1"/>
  <c r="Q103" i="1" s="1"/>
  <c r="H33" i="11" l="1"/>
  <c r="G33" i="11"/>
  <c r="F33" i="11"/>
  <c r="E33" i="11"/>
  <c r="D33" i="11"/>
  <c r="I19" i="1"/>
  <c r="G30" i="1"/>
  <c r="I30" i="1"/>
  <c r="I28" i="1" s="1"/>
  <c r="I75" i="1"/>
  <c r="I16" i="1"/>
  <c r="I67" i="1"/>
  <c r="J26" i="1"/>
  <c r="M48" i="1"/>
  <c r="K48" i="1"/>
  <c r="L48" i="1"/>
  <c r="N48" i="1"/>
  <c r="I48" i="1"/>
  <c r="I47" i="1" s="1"/>
  <c r="J48" i="1"/>
  <c r="O48" i="1"/>
  <c r="P48" i="1"/>
  <c r="G47" i="1"/>
  <c r="G49" i="1" s="1"/>
  <c r="I23" i="1"/>
  <c r="G30" i="5"/>
  <c r="G56" i="5" s="1"/>
  <c r="G58" i="5" s="1"/>
  <c r="E39" i="5"/>
  <c r="D52" i="5"/>
  <c r="D30" i="5"/>
  <c r="D56" i="5" s="1"/>
  <c r="D58" i="5" s="1"/>
  <c r="F30" i="5"/>
  <c r="F56" i="5" s="1"/>
  <c r="F58" i="5" s="1"/>
  <c r="C30" i="5"/>
  <c r="D39" i="5"/>
  <c r="E30" i="5"/>
  <c r="D92" i="1"/>
  <c r="D73" i="1"/>
  <c r="C56" i="5"/>
  <c r="C58" i="5" s="1"/>
  <c r="G65" i="1"/>
  <c r="G89" i="1"/>
  <c r="E73" i="1"/>
  <c r="E65" i="1"/>
  <c r="E92" i="1"/>
  <c r="F92" i="1"/>
  <c r="F73" i="1"/>
  <c r="D89" i="1"/>
  <c r="D65" i="1"/>
  <c r="G92" i="1"/>
  <c r="G73" i="1"/>
  <c r="F89" i="1"/>
  <c r="F65" i="1"/>
  <c r="E56" i="5"/>
  <c r="E58" i="5" s="1"/>
  <c r="C39" i="5"/>
  <c r="K26" i="1"/>
  <c r="L26" i="1"/>
  <c r="J44" i="1"/>
  <c r="E23" i="1"/>
  <c r="E19" i="1"/>
  <c r="D23" i="1"/>
  <c r="D19" i="1"/>
  <c r="F19" i="1"/>
  <c r="F40" i="1"/>
  <c r="G40" i="1"/>
  <c r="G15" i="1"/>
  <c r="D40" i="1"/>
  <c r="G19" i="1"/>
  <c r="E30" i="1"/>
  <c r="C44" i="1"/>
  <c r="F30" i="1"/>
  <c r="F15" i="1"/>
  <c r="D44" i="1"/>
  <c r="F23" i="1"/>
  <c r="C30" i="1"/>
  <c r="D30" i="1"/>
  <c r="E36" i="1"/>
  <c r="H15" i="1"/>
  <c r="E44" i="1"/>
  <c r="E40" i="1"/>
  <c r="G37" i="1"/>
  <c r="F87" i="1"/>
  <c r="E37" i="1"/>
  <c r="F44" i="1"/>
  <c r="G10" i="3"/>
  <c r="F10" i="3"/>
  <c r="D87" i="1"/>
  <c r="G84" i="1"/>
  <c r="F84" i="1"/>
  <c r="G87" i="1"/>
  <c r="C73" i="1"/>
  <c r="C65" i="1"/>
  <c r="C36" i="1"/>
  <c r="D15" i="1"/>
  <c r="D36" i="1"/>
  <c r="E15" i="1"/>
  <c r="D37" i="1"/>
  <c r="G44" i="1"/>
  <c r="G23" i="1"/>
  <c r="C40" i="1"/>
  <c r="F36" i="1"/>
  <c r="F37" i="1"/>
  <c r="G36" i="1"/>
  <c r="H30" i="1" l="1"/>
  <c r="H28" i="1"/>
  <c r="H76" i="1"/>
  <c r="H75" i="1"/>
  <c r="I76" i="1"/>
  <c r="I77" i="1" s="1"/>
  <c r="H67" i="1"/>
  <c r="H92" i="1" s="1"/>
  <c r="H19" i="1"/>
  <c r="M26" i="1"/>
  <c r="L47" i="1"/>
  <c r="J47" i="1"/>
  <c r="E71" i="1"/>
  <c r="G71" i="1"/>
  <c r="H53" i="1"/>
  <c r="I53" i="1"/>
  <c r="K47" i="1"/>
  <c r="H23" i="1"/>
  <c r="F68" i="1"/>
  <c r="F93" i="1" s="1"/>
  <c r="F65" i="5"/>
  <c r="C68" i="1"/>
  <c r="C93" i="1" s="1"/>
  <c r="C65" i="5"/>
  <c r="F71" i="1"/>
  <c r="D16" i="1"/>
  <c r="D65" i="5"/>
  <c r="E81" i="1"/>
  <c r="E65" i="5"/>
  <c r="G24" i="1"/>
  <c r="G65" i="5"/>
  <c r="D71" i="1"/>
  <c r="H43" i="1"/>
  <c r="H24" i="1"/>
  <c r="N26" i="1"/>
  <c r="M47" i="1"/>
  <c r="F24" i="1"/>
  <c r="F56" i="1"/>
  <c r="F85" i="1" s="1"/>
  <c r="F81" i="1"/>
  <c r="C16" i="1"/>
  <c r="F16" i="1"/>
  <c r="E68" i="1"/>
  <c r="E93" i="1" s="1"/>
  <c r="E20" i="1"/>
  <c r="E64" i="1"/>
  <c r="E90" i="1" s="1"/>
  <c r="F20" i="1"/>
  <c r="F31" i="1"/>
  <c r="F82" i="1" s="1"/>
  <c r="E16" i="1"/>
  <c r="F64" i="1"/>
  <c r="F90" i="1" s="1"/>
  <c r="F72" i="1"/>
  <c r="F96" i="1" s="1"/>
  <c r="E24" i="1"/>
  <c r="E72" i="1"/>
  <c r="E96" i="1" s="1"/>
  <c r="C24" i="1"/>
  <c r="E31" i="1"/>
  <c r="E82" i="1" s="1"/>
  <c r="C72" i="1"/>
  <c r="C96" i="1" s="1"/>
  <c r="C64" i="1"/>
  <c r="C90" i="1" s="1"/>
  <c r="D81" i="1"/>
  <c r="D24" i="1"/>
  <c r="D31" i="1"/>
  <c r="D82" i="1" s="1"/>
  <c r="H35" i="1"/>
  <c r="I15" i="1"/>
  <c r="G68" i="1"/>
  <c r="G93" i="1" s="1"/>
  <c r="G72" i="1"/>
  <c r="G96" i="1" s="1"/>
  <c r="G64" i="1"/>
  <c r="G90" i="1" s="1"/>
  <c r="G31" i="1"/>
  <c r="G82" i="1" s="1"/>
  <c r="D72" i="1"/>
  <c r="D96" i="1" s="1"/>
  <c r="D64" i="1"/>
  <c r="D90" i="1" s="1"/>
  <c r="C81" i="1"/>
  <c r="C20" i="1"/>
  <c r="D68" i="1"/>
  <c r="D93" i="1" s="1"/>
  <c r="G56" i="1"/>
  <c r="G85" i="1" s="1"/>
  <c r="G16" i="1"/>
  <c r="G81" i="1"/>
  <c r="D56" i="1"/>
  <c r="D85" i="1" s="1"/>
  <c r="G20" i="1"/>
  <c r="D20" i="1"/>
  <c r="H81" i="1"/>
  <c r="H31" i="1"/>
  <c r="H82" i="1" s="1"/>
  <c r="H63" i="1"/>
  <c r="H20" i="1"/>
  <c r="H16" i="1"/>
  <c r="E56" i="1"/>
  <c r="E85" i="1" s="1"/>
  <c r="E84" i="1"/>
  <c r="E87" i="1"/>
  <c r="C84" i="1"/>
  <c r="C87" i="1"/>
  <c r="C56" i="1"/>
  <c r="C85" i="1" s="1"/>
  <c r="C37" i="1"/>
  <c r="J14" i="1"/>
  <c r="I35" i="1"/>
  <c r="H77" i="1" l="1"/>
  <c r="H65" i="1"/>
  <c r="E66" i="5"/>
  <c r="E68" i="5" s="1"/>
  <c r="D66" i="5"/>
  <c r="G66" i="5"/>
  <c r="G68" i="5" s="1"/>
  <c r="F66" i="5"/>
  <c r="F68" i="5" s="1"/>
  <c r="D68" i="5"/>
  <c r="C69" i="5"/>
  <c r="O26" i="1"/>
  <c r="N47" i="1"/>
  <c r="H89" i="1"/>
  <c r="I63" i="1"/>
  <c r="I65" i="1" s="1"/>
  <c r="I92" i="1"/>
  <c r="I81" i="1"/>
  <c r="I31" i="1"/>
  <c r="I82" i="1" s="1"/>
  <c r="I20" i="1"/>
  <c r="K14" i="1"/>
  <c r="J35" i="1"/>
  <c r="I24" i="1"/>
  <c r="M72" i="1" l="1"/>
  <c r="M96" i="1" s="1"/>
  <c r="L72" i="1"/>
  <c r="L96" i="1" s="1"/>
  <c r="K72" i="1"/>
  <c r="K96" i="1" s="1"/>
  <c r="J72" i="1"/>
  <c r="J96" i="1" s="1"/>
  <c r="Q72" i="1"/>
  <c r="Q96" i="1" s="1"/>
  <c r="I72" i="1"/>
  <c r="P72" i="1"/>
  <c r="P96" i="1" s="1"/>
  <c r="H72" i="1"/>
  <c r="O72" i="1"/>
  <c r="O96" i="1" s="1"/>
  <c r="N72" i="1"/>
  <c r="N96" i="1" s="1"/>
  <c r="P26" i="1"/>
  <c r="O47" i="1"/>
  <c r="I89" i="1"/>
  <c r="L14" i="1"/>
  <c r="K35" i="1"/>
  <c r="H96" i="1" l="1"/>
  <c r="H70" i="1"/>
  <c r="I96" i="1"/>
  <c r="I70" i="1"/>
  <c r="Q26" i="1"/>
  <c r="P47" i="1"/>
  <c r="L35" i="1"/>
  <c r="M14" i="1"/>
  <c r="Q47" i="1" l="1"/>
  <c r="I71" i="1"/>
  <c r="I73" i="1"/>
  <c r="I95" i="1"/>
  <c r="H71" i="1"/>
  <c r="H95" i="1"/>
  <c r="H73" i="1"/>
  <c r="M35" i="1"/>
  <c r="N14" i="1"/>
  <c r="O14" i="1" l="1"/>
  <c r="N35" i="1"/>
  <c r="O35" i="1" l="1"/>
  <c r="P14" i="1"/>
  <c r="Q14" i="1" l="1"/>
  <c r="P35" i="1"/>
  <c r="Q35" i="1" l="1"/>
  <c r="J18" i="1" l="1"/>
  <c r="K18" i="1" l="1"/>
  <c r="L18" i="1"/>
  <c r="M18" i="1" l="1"/>
  <c r="N18" i="1" l="1"/>
  <c r="O18" i="1" l="1"/>
  <c r="P18" i="1" l="1"/>
  <c r="Q18" i="1" l="1"/>
  <c r="J22" i="1" l="1"/>
  <c r="J30" i="1" s="1"/>
  <c r="J28" i="1" s="1"/>
  <c r="J43" i="1" l="1"/>
  <c r="K22" i="1"/>
  <c r="K30" i="1" s="1"/>
  <c r="K28" i="1" s="1"/>
  <c r="J75" i="1" l="1"/>
  <c r="J76" i="1"/>
  <c r="J63" i="1"/>
  <c r="J89" i="1" s="1"/>
  <c r="J67" i="1"/>
  <c r="J92" i="1" s="1"/>
  <c r="J24" i="1"/>
  <c r="J81" i="1"/>
  <c r="J31" i="1"/>
  <c r="J82" i="1" s="1"/>
  <c r="J16" i="1"/>
  <c r="J20" i="1"/>
  <c r="J70" i="1"/>
  <c r="J71" i="1" s="1"/>
  <c r="J53" i="1"/>
  <c r="L22" i="1"/>
  <c r="L30" i="1" s="1"/>
  <c r="L28" i="1" s="1"/>
  <c r="K43" i="1"/>
  <c r="K31" i="1"/>
  <c r="K82" i="1" s="1"/>
  <c r="J77" i="1" l="1"/>
  <c r="J65" i="1" s="1"/>
  <c r="K63" i="1"/>
  <c r="K89" i="1" s="1"/>
  <c r="K75" i="1"/>
  <c r="K76" i="1"/>
  <c r="K16" i="1"/>
  <c r="L67" i="1"/>
  <c r="L92" i="1" s="1"/>
  <c r="L75" i="1"/>
  <c r="L76" i="1"/>
  <c r="K24" i="1"/>
  <c r="K67" i="1"/>
  <c r="K92" i="1" s="1"/>
  <c r="L53" i="1"/>
  <c r="J95" i="1"/>
  <c r="J73" i="1"/>
  <c r="K70" i="1"/>
  <c r="K71" i="1" s="1"/>
  <c r="K53" i="1"/>
  <c r="L70" i="1"/>
  <c r="L71" i="1" s="1"/>
  <c r="L20" i="1"/>
  <c r="M22" i="1"/>
  <c r="M30" i="1" s="1"/>
  <c r="M28" i="1" s="1"/>
  <c r="L43" i="1"/>
  <c r="L16" i="1"/>
  <c r="L81" i="1"/>
  <c r="L63" i="1"/>
  <c r="L89" i="1" s="1"/>
  <c r="L31" i="1"/>
  <c r="L82" i="1" s="1"/>
  <c r="K20" i="1"/>
  <c r="K81" i="1"/>
  <c r="L24" i="1"/>
  <c r="L77" i="1" l="1"/>
  <c r="L65" i="1" s="1"/>
  <c r="K77" i="1"/>
  <c r="K65" i="1" s="1"/>
  <c r="K73" i="1"/>
  <c r="M43" i="1"/>
  <c r="N22" i="1"/>
  <c r="N30" i="1" s="1"/>
  <c r="N28" i="1" s="1"/>
  <c r="K95" i="1"/>
  <c r="L73" i="1"/>
  <c r="L95" i="1"/>
  <c r="M67" i="1" l="1"/>
  <c r="M92" i="1" s="1"/>
  <c r="M76" i="1"/>
  <c r="M75" i="1"/>
  <c r="M70" i="1"/>
  <c r="M71" i="1" s="1"/>
  <c r="M53" i="1"/>
  <c r="M24" i="1"/>
  <c r="M63" i="1"/>
  <c r="M31" i="1"/>
  <c r="M82" i="1" s="1"/>
  <c r="M81" i="1"/>
  <c r="M16" i="1"/>
  <c r="M20" i="1"/>
  <c r="N43" i="1"/>
  <c r="O22" i="1"/>
  <c r="O30" i="1" s="1"/>
  <c r="O28" i="1" s="1"/>
  <c r="M77" i="1" l="1"/>
  <c r="M65" i="1" s="1"/>
  <c r="N67" i="1"/>
  <c r="N92" i="1" s="1"/>
  <c r="N75" i="1"/>
  <c r="N76" i="1"/>
  <c r="N70" i="1"/>
  <c r="N71" i="1" s="1"/>
  <c r="N53" i="1"/>
  <c r="N24" i="1"/>
  <c r="N63" i="1"/>
  <c r="N20" i="1"/>
  <c r="N31" i="1"/>
  <c r="N82" i="1" s="1"/>
  <c r="N16" i="1"/>
  <c r="N81" i="1"/>
  <c r="O43" i="1"/>
  <c r="P22" i="1"/>
  <c r="P30" i="1" s="1"/>
  <c r="P28" i="1" s="1"/>
  <c r="M95" i="1"/>
  <c r="M73" i="1"/>
  <c r="M89" i="1"/>
  <c r="N77" i="1" l="1"/>
  <c r="N65" i="1" s="1"/>
  <c r="O67" i="1"/>
  <c r="O92" i="1" s="1"/>
  <c r="O76" i="1"/>
  <c r="O75" i="1"/>
  <c r="O77" i="1" s="1"/>
  <c r="O70" i="1"/>
  <c r="O71" i="1" s="1"/>
  <c r="O53" i="1"/>
  <c r="N73" i="1"/>
  <c r="N95" i="1"/>
  <c r="O24" i="1"/>
  <c r="O16" i="1"/>
  <c r="O20" i="1"/>
  <c r="O81" i="1"/>
  <c r="O31" i="1"/>
  <c r="O82" i="1" s="1"/>
  <c r="O63" i="1"/>
  <c r="P43" i="1"/>
  <c r="Q22" i="1"/>
  <c r="Q30" i="1" s="1"/>
  <c r="Q28" i="1" s="1"/>
  <c r="N89" i="1"/>
  <c r="P67" i="1" l="1"/>
  <c r="P92" i="1" s="1"/>
  <c r="P76" i="1"/>
  <c r="P75" i="1"/>
  <c r="O65" i="1"/>
  <c r="P70" i="1"/>
  <c r="P71" i="1" s="1"/>
  <c r="P53" i="1"/>
  <c r="P24" i="1"/>
  <c r="P63" i="1"/>
  <c r="P20" i="1"/>
  <c r="P81" i="1"/>
  <c r="P31" i="1"/>
  <c r="P82" i="1" s="1"/>
  <c r="P16" i="1"/>
  <c r="Q43" i="1"/>
  <c r="O89" i="1"/>
  <c r="O73" i="1"/>
  <c r="O95" i="1"/>
  <c r="Q39" i="1"/>
  <c r="P39" i="1"/>
  <c r="O39" i="1"/>
  <c r="N39" i="1"/>
  <c r="M39" i="1"/>
  <c r="L39" i="1"/>
  <c r="K39" i="1"/>
  <c r="J39" i="1"/>
  <c r="I39" i="1"/>
  <c r="H39" i="1"/>
  <c r="P77" i="1" l="1"/>
  <c r="P65" i="1" s="1"/>
  <c r="Q67" i="1"/>
  <c r="Q92" i="1" s="1"/>
  <c r="Q75" i="1"/>
  <c r="Q76" i="1"/>
  <c r="H51" i="1"/>
  <c r="I51" i="1"/>
  <c r="I41" i="1" s="1"/>
  <c r="J51" i="1"/>
  <c r="J41" i="1" s="1"/>
  <c r="Q70" i="1"/>
  <c r="Q71" i="1" s="1"/>
  <c r="Q53" i="1"/>
  <c r="L51" i="1"/>
  <c r="L41" i="1" s="1"/>
  <c r="N51" i="1"/>
  <c r="N41" i="1" s="1"/>
  <c r="O51" i="1"/>
  <c r="M51" i="1"/>
  <c r="M41" i="1" s="1"/>
  <c r="P51" i="1"/>
  <c r="P41" i="1" s="1"/>
  <c r="Q51" i="1"/>
  <c r="Q45" i="1" s="1"/>
  <c r="K51" i="1"/>
  <c r="K41" i="1" s="1"/>
  <c r="Q24" i="1"/>
  <c r="Q63" i="1"/>
  <c r="Q16" i="1"/>
  <c r="Q31" i="1"/>
  <c r="Q82" i="1" s="1"/>
  <c r="Q20" i="1"/>
  <c r="Q81" i="1"/>
  <c r="P73" i="1"/>
  <c r="P95" i="1"/>
  <c r="P89" i="1"/>
  <c r="Q77" i="1" l="1"/>
  <c r="Q65" i="1" s="1"/>
  <c r="Q41" i="1"/>
  <c r="Q55" i="1"/>
  <c r="Q84" i="1" s="1"/>
  <c r="Q49" i="1"/>
  <c r="I55" i="1"/>
  <c r="I37" i="1" s="1"/>
  <c r="I45" i="1"/>
  <c r="I49" i="1"/>
  <c r="O55" i="1"/>
  <c r="O49" i="1"/>
  <c r="O45" i="1"/>
  <c r="J55" i="1"/>
  <c r="J59" i="1" s="1"/>
  <c r="J87" i="1" s="1"/>
  <c r="J102" i="1" s="1"/>
  <c r="J49" i="1"/>
  <c r="J45" i="1"/>
  <c r="K55" i="1"/>
  <c r="K59" i="1" s="1"/>
  <c r="K87" i="1" s="1"/>
  <c r="K102" i="1" s="1"/>
  <c r="K49" i="1"/>
  <c r="K45" i="1"/>
  <c r="P55" i="1"/>
  <c r="P84" i="1" s="1"/>
  <c r="P49" i="1"/>
  <c r="P45" i="1"/>
  <c r="H55" i="1"/>
  <c r="H84" i="1" s="1"/>
  <c r="H49" i="1"/>
  <c r="H45" i="1"/>
  <c r="N55" i="1"/>
  <c r="N37" i="1" s="1"/>
  <c r="N49" i="1"/>
  <c r="N45" i="1"/>
  <c r="L55" i="1"/>
  <c r="L59" i="1" s="1"/>
  <c r="L87" i="1" s="1"/>
  <c r="L102" i="1" s="1"/>
  <c r="L49" i="1"/>
  <c r="L45" i="1"/>
  <c r="M55" i="1"/>
  <c r="M37" i="1" s="1"/>
  <c r="M49" i="1"/>
  <c r="M45" i="1"/>
  <c r="H41" i="1"/>
  <c r="O41" i="1"/>
  <c r="J84" i="1"/>
  <c r="Q95" i="1"/>
  <c r="Q73" i="1"/>
  <c r="Q89" i="1"/>
  <c r="J37" i="1" l="1"/>
  <c r="J104" i="1"/>
  <c r="L104" i="1"/>
  <c r="K104" i="1"/>
  <c r="Q59" i="1"/>
  <c r="Q87" i="1" s="1"/>
  <c r="Q102" i="1" s="1"/>
  <c r="M84" i="1"/>
  <c r="M59" i="1"/>
  <c r="M87" i="1" s="1"/>
  <c r="M102" i="1" s="1"/>
  <c r="N56" i="1"/>
  <c r="N85" i="1" s="1"/>
  <c r="N59" i="1"/>
  <c r="N87" i="1" s="1"/>
  <c r="N102" i="1" s="1"/>
  <c r="N84" i="1"/>
  <c r="I84" i="1"/>
  <c r="I59" i="1"/>
  <c r="I87" i="1" s="1"/>
  <c r="I102" i="1" s="1"/>
  <c r="I56" i="1"/>
  <c r="I85" i="1" s="1"/>
  <c r="K37" i="1"/>
  <c r="J56" i="1"/>
  <c r="J85" i="1" s="1"/>
  <c r="M56" i="1"/>
  <c r="M85" i="1" s="1"/>
  <c r="O37" i="1"/>
  <c r="O84" i="1"/>
  <c r="O56" i="1"/>
  <c r="O85" i="1" s="1"/>
  <c r="P59" i="1"/>
  <c r="P87" i="1" s="1"/>
  <c r="P102" i="1" s="1"/>
  <c r="H56" i="1"/>
  <c r="H85" i="1" s="1"/>
  <c r="H37" i="1"/>
  <c r="P56" i="1"/>
  <c r="P85" i="1" s="1"/>
  <c r="O59" i="1"/>
  <c r="O87" i="1" s="1"/>
  <c r="O102" i="1" s="1"/>
  <c r="P37" i="1"/>
  <c r="K84" i="1"/>
  <c r="H59" i="1"/>
  <c r="H87" i="1" s="1"/>
  <c r="H102" i="1" s="1"/>
  <c r="L84" i="1"/>
  <c r="L37" i="1"/>
  <c r="L56" i="1"/>
  <c r="L85" i="1" s="1"/>
  <c r="K56" i="1"/>
  <c r="K85" i="1" s="1"/>
  <c r="Q56" i="1"/>
  <c r="Q85" i="1" s="1"/>
  <c r="C31" i="11" s="1"/>
  <c r="Q37" i="1"/>
  <c r="C40" i="11" l="1"/>
  <c r="G40" i="11" s="1" a="1"/>
  <c r="G40" i="11" s="1"/>
  <c r="C36" i="11"/>
  <c r="D36" i="11" s="1" a="1"/>
  <c r="D36" i="11" s="1"/>
  <c r="C39" i="11"/>
  <c r="E39" i="11" s="1" a="1"/>
  <c r="E39" i="11" s="1"/>
  <c r="C38" i="11"/>
  <c r="H38" i="11" s="1" a="1"/>
  <c r="H38" i="11" s="1"/>
  <c r="C41" i="11"/>
  <c r="H41" i="11" s="1" a="1"/>
  <c r="H41" i="11" s="1"/>
  <c r="C37" i="11"/>
  <c r="D37" i="11" s="1" a="1"/>
  <c r="D37" i="11" s="1"/>
  <c r="C42" i="11"/>
  <c r="E42" i="11" s="1" a="1"/>
  <c r="E42" i="11" s="1"/>
  <c r="H36" i="11" a="1"/>
  <c r="H36" i="11" s="1"/>
  <c r="F39" i="11" a="1"/>
  <c r="F39" i="11" s="1"/>
  <c r="F38" i="11" a="1"/>
  <c r="F38" i="11" s="1"/>
  <c r="H39" i="11" a="1"/>
  <c r="H39" i="11" s="1"/>
  <c r="G39" i="11" a="1"/>
  <c r="G39" i="11" s="1"/>
  <c r="H104" i="1"/>
  <c r="I104" i="1"/>
  <c r="N104" i="1"/>
  <c r="M104" i="1"/>
  <c r="O104" i="1"/>
  <c r="P104" i="1"/>
  <c r="Q104" i="1"/>
  <c r="Q107" i="1"/>
  <c r="Q108" i="1"/>
  <c r="G41" i="11" l="1" a="1"/>
  <c r="G41" i="11" s="1"/>
  <c r="F40" i="11" a="1"/>
  <c r="F40" i="11" s="1"/>
  <c r="E40" i="11" a="1"/>
  <c r="E40" i="11" s="1"/>
  <c r="G42" i="11" a="1"/>
  <c r="G42" i="11" s="1"/>
  <c r="D40" i="11" a="1"/>
  <c r="D40" i="11" s="1"/>
  <c r="D41" i="11" a="1"/>
  <c r="D41" i="11" s="1"/>
  <c r="D42" i="11" a="1"/>
  <c r="D42" i="11" s="1"/>
  <c r="F36" i="11" a="1"/>
  <c r="F36" i="11" s="1"/>
  <c r="D38" i="11" a="1"/>
  <c r="D38" i="11" s="1"/>
  <c r="E38" i="11" a="1"/>
  <c r="E38" i="11" s="1"/>
  <c r="H42" i="11" a="1"/>
  <c r="H42" i="11" s="1"/>
  <c r="E41" i="11" a="1"/>
  <c r="E41" i="11" s="1"/>
  <c r="G37" i="11" a="1"/>
  <c r="G37" i="11" s="1"/>
  <c r="G38" i="11" a="1"/>
  <c r="G38" i="11" s="1"/>
  <c r="F41" i="11" a="1"/>
  <c r="F41" i="11" s="1"/>
  <c r="G36" i="11" a="1"/>
  <c r="G36" i="11" s="1"/>
  <c r="F42" i="11" a="1"/>
  <c r="F42" i="11" s="1"/>
  <c r="H37" i="11" a="1"/>
  <c r="H37" i="11" s="1"/>
  <c r="F37" i="11" a="1"/>
  <c r="F37" i="11" s="1"/>
  <c r="D39" i="11" a="1"/>
  <c r="D39" i="11" s="1"/>
  <c r="E37" i="11" a="1"/>
  <c r="E37" i="11" s="1"/>
  <c r="E36" i="11" a="1"/>
  <c r="E36" i="11" s="1"/>
  <c r="H40" i="11" a="1"/>
  <c r="H40" i="11" s="1"/>
  <c r="Q114" i="1"/>
  <c r="Q115" i="1" s="1"/>
  <c r="Q117" i="1" s="1"/>
  <c r="Q120" i="1" s="1"/>
  <c r="Q124" i="1" s="1"/>
  <c r="C10" i="11" s="1"/>
  <c r="D6" i="1" l="1"/>
  <c r="C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Troy Slack</author>
  </authors>
  <commentList>
    <comment ref="C12" authorId="0" shapeId="0" xr:uid="{CAE1C2D2-9C43-4995-B1BA-AEA2D30BBF6A}">
      <text>
        <r>
          <rPr>
            <b/>
            <sz val="9"/>
            <color indexed="81"/>
            <rFont val="Tahoma"/>
            <family val="2"/>
          </rPr>
          <t>Troy Slack:</t>
        </r>
        <r>
          <rPr>
            <sz val="9"/>
            <color indexed="81"/>
            <rFont val="Tahoma"/>
            <family val="2"/>
          </rPr>
          <t xml:space="preserve">
Source: MarketBeat (unofficial, analyst consensus target, 13 analysts), https://www.marketbeat.com/stocks/NASDAQ/ITRI/forecast/ (retrieved 2026-07-21)</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Troy Slack</author>
  </authors>
  <commentList>
    <comment ref="D7" authorId="0" shapeId="0" xr:uid="{A25606AD-4C6D-4143-B866-42792227A943}">
      <text>
        <r>
          <rPr>
            <b/>
            <sz val="9"/>
            <color indexed="81"/>
            <rFont val="Tahoma"/>
            <family val="2"/>
          </rPr>
          <t>Troy Slack:</t>
        </r>
        <r>
          <rPr>
            <sz val="9"/>
            <color indexed="81"/>
            <rFont val="Tahoma"/>
            <family val="2"/>
          </rPr>
          <t xml:space="preserve">
market Close, 7/28/26
</t>
        </r>
      </text>
    </comment>
    <comment ref="J15" authorId="0" shapeId="0" xr:uid="{34576552-95B5-4CAF-A904-5280936AB74A}">
      <text>
        <r>
          <rPr>
            <b/>
            <sz val="9"/>
            <color indexed="81"/>
            <rFont val="Tahoma"/>
            <family val="2"/>
          </rPr>
          <t xml:space="preserve">Troy Slack:
Legacy business, standalone meters. Low margin, legacy product lines. Growth to keep pace with long-run inflation.
</t>
        </r>
      </text>
    </comment>
    <comment ref="J19" authorId="0" shapeId="0" xr:uid="{69D64CE5-980F-440C-A060-20EECFB60285}">
      <text>
        <r>
          <rPr>
            <b/>
            <sz val="9"/>
            <color indexed="81"/>
            <rFont val="Tahoma"/>
            <family val="2"/>
          </rPr>
          <t>Troy Slack:</t>
        </r>
        <r>
          <rPr>
            <sz val="9"/>
            <color indexed="81"/>
            <rFont val="Tahoma"/>
            <family val="2"/>
          </rPr>
          <t xml:space="preserve">
Assuming backlog converts partially, monitor for book to bill ratio, 0.9.
</t>
        </r>
      </text>
    </comment>
    <comment ref="J23" authorId="0" shapeId="0" xr:uid="{608141F9-372F-4A11-B1CF-057E46A79375}">
      <text>
        <r>
          <rPr>
            <b/>
            <sz val="9"/>
            <color indexed="81"/>
            <rFont val="Tahoma"/>
            <family val="2"/>
          </rPr>
          <t>Troy Slack:</t>
        </r>
        <r>
          <rPr>
            <sz val="9"/>
            <color indexed="81"/>
            <rFont val="Tahoma"/>
            <family val="2"/>
          </rPr>
          <t xml:space="preserve">
high growth software business. Assuming mid-low single digit growth that fades down to 10% by the end of 2035.
</t>
        </r>
      </text>
    </comment>
    <comment ref="H26" authorId="0" shapeId="0" xr:uid="{0F1E22B0-B302-4DB8-AC76-40A4CBD1FFC9}">
      <text>
        <r>
          <rPr>
            <b/>
            <sz val="9"/>
            <color indexed="81"/>
            <rFont val="Tahoma"/>
            <family val="2"/>
          </rPr>
          <t>Troy Slack:</t>
        </r>
        <r>
          <rPr>
            <sz val="9"/>
            <color indexed="81"/>
            <rFont val="Tahoma"/>
            <family val="2"/>
          </rPr>
          <t xml:space="preserve">
 On the Q1 call and in the Q4 materials they guided the new Resiliency segment to $65-70M for 2026.
</t>
        </r>
      </text>
    </comment>
    <comment ref="I27" authorId="0" shapeId="0" xr:uid="{DDFFBEEC-4D02-49DF-A775-2C5D5E7C6DF0}">
      <text>
        <r>
          <rPr>
            <b/>
            <sz val="9"/>
            <color indexed="81"/>
            <rFont val="Tahoma"/>
            <family val="2"/>
          </rPr>
          <t xml:space="preserve">Troy Slack:
Itron paid $887M for roughly 65-70M of revenues. Only makes sense with 20% growth with strong margins, considering forward revenue mutiples.
</t>
        </r>
      </text>
    </comment>
    <comment ref="H36" authorId="0" shapeId="0" xr:uid="{B4CA11CD-DCBD-4787-97B4-14201E1DA4BC}">
      <text>
        <r>
          <rPr>
            <b/>
            <sz val="9"/>
            <color indexed="81"/>
            <rFont val="Tahoma"/>
            <family val="2"/>
          </rPr>
          <t>Troy Slack:</t>
        </r>
        <r>
          <rPr>
            <sz val="9"/>
            <color indexed="81"/>
            <rFont val="Tahoma"/>
            <family val="2"/>
          </rPr>
          <t xml:space="preserve">
Actual from H1 2026. Assuming it stays stable for H2 2026, and we see modest 200bp expansion over 10 years due to modest improvments. We believe the majority of lower-margin business in this segment has already been exited.
</t>
        </r>
      </text>
    </comment>
    <comment ref="H40" authorId="0" shapeId="0" xr:uid="{6C3D55CB-0B0C-4920-966E-BF61DB4A1CC5}">
      <text>
        <r>
          <rPr>
            <b/>
            <sz val="9"/>
            <color indexed="81"/>
            <rFont val="Tahoma"/>
            <family val="2"/>
          </rPr>
          <t>Troy Slack:</t>
        </r>
        <r>
          <rPr>
            <sz val="9"/>
            <color indexed="81"/>
            <rFont val="Tahoma"/>
            <family val="2"/>
          </rPr>
          <t xml:space="preserve">
Book to bill improved to almost 1. With future grid buildouts, we assume contiuned margin expansion as the software part of the business gains traction.
Based on H1 2026.
</t>
        </r>
      </text>
    </comment>
    <comment ref="H44" authorId="0" shapeId="0" xr:uid="{5CB8DDE3-63B8-4848-8EDA-664C3DD6460D}">
      <text>
        <r>
          <rPr>
            <b/>
            <sz val="9"/>
            <color indexed="81"/>
            <rFont val="Tahoma"/>
            <family val="2"/>
          </rPr>
          <t>Troy Slack:</t>
        </r>
        <r>
          <rPr>
            <sz val="9"/>
            <color indexed="81"/>
            <rFont val="Tahoma"/>
            <family val="2"/>
          </rPr>
          <t xml:space="preserve">
Based on H1 2026, in line with former estimate. Assuming moderate margin expansion from contiuned operating leverage improvements, along with some revenue mix shift within the segment.</t>
        </r>
      </text>
    </comment>
    <comment ref="K44" authorId="0" shapeId="0" xr:uid="{156BFB13-2F4A-42B1-A6A6-36269ED58A3A}">
      <text>
        <r>
          <rPr>
            <b/>
            <sz val="9"/>
            <color indexed="81"/>
            <rFont val="Tahoma"/>
            <family val="2"/>
          </rPr>
          <t>Troy Slack:</t>
        </r>
        <r>
          <rPr>
            <sz val="9"/>
            <color indexed="81"/>
            <rFont val="Tahoma"/>
            <family val="2"/>
          </rPr>
          <t xml:space="preserve">
short-term expansion, based on mix shift. Outcomes seems to be pushed by operating leverage rather than revenue mix shift from higher margin software businesses at the moment. MONITOR- REVENUE MIX SHIFT CAN MASSIVELY CHANGE MARGINS HERE.</t>
        </r>
      </text>
    </comment>
    <comment ref="H48" authorId="0" shapeId="0" xr:uid="{5C3D6700-CE1E-49AB-BF06-344DABC97D34}">
      <text>
        <r>
          <rPr>
            <b/>
            <sz val="9"/>
            <color indexed="81"/>
            <rFont val="Tahoma"/>
            <family val="2"/>
          </rPr>
          <t>Troy Slack:</t>
        </r>
        <r>
          <rPr>
            <sz val="9"/>
            <color indexed="81"/>
            <rFont val="Tahoma"/>
            <family val="2"/>
          </rPr>
          <t xml:space="preserve">
Currently, running at a 27% adjusted segment operating margin. Operating margin approach to corperate average? ""immediately accretive to revenue growth and gross margins and EBITDA, dilutive to 2026 EPS due to less interest income, but on an operational basis accretive in 2026. By the time we are into 2027, it is completely accretive on an EPS level. Operationally, what drags them today is just a higher operating structure, which they will grow into. We are encouraging continued R&amp;D spending and platform buildout."
EPS dilution is past interest income. Assumig margins expand up to 36%,based off of language thta managment. Resiliency Solutions is clearly strong on gross margin and, as it scales, will pull the company average upward,"</t>
        </r>
      </text>
    </comment>
    <comment ref="H53" authorId="0" shapeId="0" xr:uid="{72C19B45-976F-409A-AD5F-D4FA3DC101B4}">
      <text>
        <r>
          <rPr>
            <b/>
            <sz val="9"/>
            <color indexed="81"/>
            <rFont val="Tahoma"/>
            <family val="2"/>
          </rPr>
          <t>Troy Slack:</t>
        </r>
        <r>
          <rPr>
            <sz val="9"/>
            <color indexed="81"/>
            <rFont val="Tahoma"/>
            <family val="2"/>
          </rPr>
          <t xml:space="preserve">
ratio of corporate unallocated expense is held at 14.5% of total revenue.
</t>
        </r>
      </text>
    </comment>
    <comment ref="H54" authorId="0" shapeId="0" xr:uid="{8E5EEF43-CB6B-4C01-8D00-1E7C59BD2BFB}">
      <text>
        <r>
          <rPr>
            <b/>
            <sz val="9"/>
            <color indexed="81"/>
            <rFont val="Tahoma"/>
            <family val="2"/>
          </rPr>
          <t>Troy Slack:</t>
        </r>
        <r>
          <rPr>
            <sz val="9"/>
            <color indexed="81"/>
            <rFont val="Tahoma"/>
            <family val="2"/>
          </rPr>
          <t xml:space="preserve">
I zeroed non-operating income in the forecast because this is an unlevered model; the cash balance is captured in the EV-to-equity bridge.</t>
        </r>
      </text>
    </comment>
    <comment ref="Q56" authorId="0" shapeId="0" xr:uid="{69926F2F-E32C-4F76-93D5-6BAC5B9EC2BC}">
      <text>
        <r>
          <rPr>
            <b/>
            <sz val="9"/>
            <color indexed="81"/>
            <rFont val="Tahoma"/>
            <family val="2"/>
          </rPr>
          <t>Troy Slack:</t>
        </r>
        <r>
          <rPr>
            <sz val="9"/>
            <color indexed="81"/>
            <rFont val="Tahoma"/>
            <family val="2"/>
          </rPr>
          <t xml:space="preserve">
This represents rather conservative margin assumptions when compared against my initial thesis. Based on more rigourous and researched revenue and EBIT margin assumptions, we come out to roughly 350bp of margin expansion, signifcantly lower than my 500bp expansion to around ~19%, just around Badger Meter. You can aruge that the higher margin revenue mix-shift can push margins above 20%, but until we see more evidence of that from future guidance, this is a rather reasonable model.</t>
        </r>
      </text>
    </comment>
    <comment ref="H60" authorId="0" shapeId="0" xr:uid="{A97A999C-CC00-47DE-A2B8-9ED1C184EBD6}">
      <text>
        <r>
          <rPr>
            <b/>
            <sz val="9"/>
            <color indexed="81"/>
            <rFont val="Tahoma"/>
            <family val="2"/>
          </rPr>
          <t xml:space="preserve">Troy Slack
</t>
        </r>
        <r>
          <rPr>
            <sz val="9"/>
            <color indexed="81"/>
            <rFont val="Tahoma"/>
            <family val="2"/>
          </rPr>
          <t xml:space="preserve">Normalized non-GAAP tax rate
</t>
        </r>
      </text>
    </comment>
    <comment ref="H64" authorId="0" shapeId="0" xr:uid="{21F4930D-6CAB-48C8-A4A7-49D5087C4DD3}">
      <text>
        <r>
          <rPr>
            <b/>
            <sz val="9"/>
            <color indexed="81"/>
            <rFont val="Tahoma"/>
            <family val="2"/>
          </rPr>
          <t>Troy Slack:</t>
        </r>
        <r>
          <rPr>
            <sz val="9"/>
            <color indexed="81"/>
            <rFont val="Tahoma"/>
            <family val="2"/>
          </rPr>
          <t xml:space="preserve">
3% rate fade up to 4%is rather consistent with the asset-heavy nature of Itron, which will persist in lower margin, asset heavy device solutions segment, along with the rather asset heavy nature of Itron.</t>
        </r>
      </text>
    </comment>
    <comment ref="H67" authorId="0" shapeId="0" xr:uid="{1376B3BB-4F6A-4B73-9348-45D9E77398E7}">
      <text>
        <r>
          <rPr>
            <b/>
            <sz val="9"/>
            <color indexed="81"/>
            <rFont val="Tahoma"/>
            <family val="2"/>
          </rPr>
          <t>Troy Slack:</t>
        </r>
        <r>
          <rPr>
            <sz val="9"/>
            <color indexed="81"/>
            <rFont val="Tahoma"/>
            <family val="2"/>
          </rPr>
          <t xml:space="preserve">
modeling capex based on historical averages, capex based on sales-to-capital
</t>
        </r>
      </text>
    </comment>
    <comment ref="B70" authorId="0" shapeId="0" xr:uid="{FED1237E-3089-4D6A-AE17-22F725B973D8}">
      <text>
        <r>
          <rPr>
            <b/>
            <sz val="9"/>
            <color indexed="81"/>
            <rFont val="Tahoma"/>
            <family val="2"/>
          </rPr>
          <t>Troy Slack:</t>
        </r>
        <r>
          <rPr>
            <sz val="9"/>
            <color indexed="81"/>
            <rFont val="Tahoma"/>
            <family val="2"/>
          </rPr>
          <t xml:space="preserve">
Sales-to-capital already includes working capital, because you calibrated the concept off total reinvestment. If you keep NWC line in the FCFF formula too, you double-charge working capital.</t>
        </r>
      </text>
    </comment>
    <comment ref="G70" authorId="0" shapeId="0" xr:uid="{5A0EA242-0782-408E-A29E-4DD77B016824}">
      <text>
        <r>
          <rPr>
            <b/>
            <sz val="9"/>
            <color indexed="81"/>
            <rFont val="Tahoma"/>
            <family val="2"/>
          </rPr>
          <t>Troy Slack:</t>
        </r>
        <r>
          <rPr>
            <sz val="9"/>
            <color indexed="81"/>
            <rFont val="Tahoma"/>
            <family val="2"/>
          </rPr>
          <t xml:space="preserve">
sign convention flipped
</t>
        </r>
      </text>
    </comment>
    <comment ref="H72" authorId="0" shapeId="0" xr:uid="{3841BF34-7E79-4716-82F4-232D9EE2AC51}">
      <text>
        <r>
          <rPr>
            <b/>
            <sz val="9"/>
            <color indexed="81"/>
            <rFont val="Tahoma"/>
            <family val="2"/>
          </rPr>
          <t>Troy Slack:</t>
        </r>
        <r>
          <rPr>
            <sz val="9"/>
            <color indexed="81"/>
            <rFont val="Tahoma"/>
            <family val="2"/>
          </rPr>
          <t xml:space="preserve">
Estimate the change in NWC based off of the % in sales because it is the cleanest and least noisest number we have here.
Working capital is the cash trapped in the operating cycle until it becomes available to investors (eg accounts recievable). you build inventory before you sell it.
Level of working capital isnt a cash flow, its a balance. 
change in nwc= nwc t- (nwc t-1) Positive working capital - more receivables and inventory to support more sales. negative working capital, collecting cash before paying suppliers. </t>
        </r>
      </text>
    </comment>
    <comment ref="H76" authorId="0" shapeId="0" xr:uid="{C7557EE6-182A-4C2C-8527-620597044808}">
      <text>
        <r>
          <rPr>
            <b/>
            <sz val="9"/>
            <color indexed="81"/>
            <rFont val="Tahoma"/>
            <family val="2"/>
          </rPr>
          <t>Troy Slack:</t>
        </r>
        <r>
          <rPr>
            <sz val="9"/>
            <color indexed="81"/>
            <rFont val="Tahoma"/>
            <family val="2"/>
          </rPr>
          <t xml:space="preserve">
2026 reinvestment is low because guided revenue is essentially flat, so there's little growth to fund that year.</t>
        </r>
      </text>
    </comment>
    <comment ref="Q106" authorId="0" shapeId="0" xr:uid="{E349ECF9-F0E6-4BE2-AA8B-3E8778641EF8}">
      <text>
        <r>
          <rPr>
            <b/>
            <sz val="9"/>
            <color indexed="81"/>
            <rFont val="Tahoma"/>
            <charset val="1"/>
          </rPr>
          <t>Troy Slack:</t>
        </r>
        <r>
          <rPr>
            <sz val="9"/>
            <color indexed="81"/>
            <rFont val="Tahoma"/>
            <charset val="1"/>
          </rPr>
          <t xml:space="preserve">
assuming zero excess returns.
</t>
        </r>
      </text>
    </comment>
    <comment ref="Q118" authorId="0" shapeId="0" xr:uid="{CE43513F-52AC-4C43-A6B2-9AFCB8426993}">
      <text>
        <r>
          <rPr>
            <b/>
            <sz val="9"/>
            <color indexed="81"/>
            <rFont val="Tahoma"/>
            <family val="2"/>
          </rPr>
          <t>Troy Slack:</t>
        </r>
        <r>
          <rPr>
            <sz val="9"/>
            <color indexed="81"/>
            <rFont val="Tahoma"/>
            <family val="2"/>
          </rPr>
          <t xml:space="preserve">
Q2 updated number.
</t>
        </r>
      </text>
    </comment>
    <comment ref="Q122" authorId="0" shapeId="0" xr:uid="{B211FD9E-01F4-4EFE-9B53-5175C3C3F4B7}">
      <text>
        <r>
          <rPr>
            <b/>
            <sz val="9"/>
            <color indexed="81"/>
            <rFont val="Tahoma"/>
            <charset val="1"/>
          </rPr>
          <t>Troy Slack:</t>
        </r>
        <r>
          <rPr>
            <sz val="9"/>
            <color indexed="81"/>
            <rFont val="Tahoma"/>
            <charset val="1"/>
          </rPr>
          <t xml:space="preserve">
updated diluted shares number.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Troy Slack</author>
  </authors>
  <commentList>
    <comment ref="D8" authorId="0" shapeId="0" xr:uid="{EC71045C-279E-44E4-B854-781628D45D24}">
      <text>
        <r>
          <rPr>
            <b/>
            <sz val="9"/>
            <color indexed="81"/>
            <rFont val="Tahoma"/>
            <family val="2"/>
          </rPr>
          <t>Troy Slack:</t>
        </r>
        <r>
          <rPr>
            <sz val="9"/>
            <color indexed="81"/>
            <rFont val="Tahoma"/>
            <family val="2"/>
          </rPr>
          <t xml:space="preserve">
Q2 Updated Number
</t>
        </r>
      </text>
    </comment>
    <comment ref="D16" authorId="0" shapeId="0" xr:uid="{98CA2BA6-7C43-42C6-915A-904B53C08798}">
      <text>
        <r>
          <rPr>
            <b/>
            <sz val="9"/>
            <color indexed="81"/>
            <rFont val="Tahoma"/>
            <family val="2"/>
          </rPr>
          <t>Troy Slack:</t>
        </r>
        <r>
          <rPr>
            <sz val="9"/>
            <color indexed="81"/>
            <rFont val="Tahoma"/>
            <family val="2"/>
          </rPr>
          <t xml:space="preserve">
us 10 year treasury yield, 30 day median as of 7/10/26
</t>
        </r>
      </text>
    </comment>
    <comment ref="D17" authorId="0" shapeId="0" xr:uid="{F46A0FBD-5F0A-421C-91CB-021FF8241474}">
      <text>
        <r>
          <rPr>
            <b/>
            <sz val="9"/>
            <color indexed="81"/>
            <rFont val="Tahoma"/>
            <family val="2"/>
          </rPr>
          <t>Troy Slack:</t>
        </r>
        <r>
          <rPr>
            <sz val="9"/>
            <color indexed="81"/>
            <rFont val="Tahoma"/>
            <family val="2"/>
          </rPr>
          <t xml:space="preserve">
blume adjusted beta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Troy Slack</author>
  </authors>
  <commentList>
    <comment ref="F15" authorId="0" shapeId="0" xr:uid="{F3111146-1332-440D-AC1D-2D98A647B005}">
      <text>
        <r>
          <rPr>
            <b/>
            <sz val="9"/>
            <color indexed="81"/>
            <rFont val="Tahoma"/>
            <family val="2"/>
          </rPr>
          <t>Troy Slack:</t>
        </r>
        <r>
          <rPr>
            <sz val="9"/>
            <color indexed="81"/>
            <rFont val="Tahoma"/>
            <family val="2"/>
          </rPr>
          <t xml:space="preserve">
Line not reported in the FY2025 10-K (2023–2025 years).</t>
        </r>
      </text>
    </comment>
    <comment ref="C48" authorId="0" shapeId="0" xr:uid="{B2992938-F94E-48DD-A3B4-6BF68ADC8DC6}">
      <text>
        <r>
          <rPr>
            <b/>
            <sz val="9"/>
            <color indexed="81"/>
            <rFont val="Tahoma"/>
            <family val="2"/>
          </rPr>
          <t>Troy Slack:</t>
        </r>
        <r>
          <rPr>
            <sz val="9"/>
            <color indexed="81"/>
            <rFont val="Tahoma"/>
            <family val="2"/>
          </rPr>
          <t xml:space="preserve">
Line not reported in FY2021–FY2022 (FY2023 10-K); call spread payments appear only in the FY2025 10-K years.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Troy Slack</author>
  </authors>
  <commentList>
    <comment ref="I9" authorId="0" shapeId="0" xr:uid="{6D7A03DD-5426-4460-A005-78F56AE37556}">
      <text>
        <r>
          <rPr>
            <b/>
            <sz val="9"/>
            <color indexed="81"/>
            <rFont val="Tahoma"/>
            <family val="2"/>
          </rPr>
          <t>Troy Slack:</t>
        </r>
        <r>
          <rPr>
            <sz val="9"/>
            <color indexed="81"/>
            <rFont val="Tahoma"/>
            <family val="2"/>
          </rPr>
          <t xml:space="preserve">
Slight revenue deceleration based off of H1 actual being -1.2% YOY
</t>
        </r>
      </text>
    </comment>
    <comment ref="J17" authorId="0" shapeId="0" xr:uid="{90D312A0-B236-42FD-AD81-918CC6573507}">
      <text>
        <r>
          <rPr>
            <b/>
            <sz val="9"/>
            <color indexed="81"/>
            <rFont val="Tahoma"/>
            <family val="2"/>
          </rPr>
          <t>Troy Slack:</t>
        </r>
        <r>
          <rPr>
            <sz val="9"/>
            <color indexed="81"/>
            <rFont val="Tahoma"/>
            <family val="2"/>
          </rPr>
          <t xml:space="preserve">
Based off of 6 months ended device solutions EBIT income
</t>
        </r>
      </text>
    </comment>
    <comment ref="J22" authorId="0" shapeId="0" xr:uid="{B457E6E1-E4EA-4D42-9E76-11399DCA25A6}">
      <text>
        <r>
          <rPr>
            <b/>
            <sz val="9"/>
            <color indexed="81"/>
            <rFont val="Tahoma"/>
            <family val="2"/>
          </rPr>
          <t>Troy Slack:</t>
        </r>
        <r>
          <rPr>
            <sz val="9"/>
            <color indexed="81"/>
            <rFont val="Tahoma"/>
            <family val="2"/>
          </rPr>
          <t xml:space="preserve">
Backwards solved from the guide midpoint of 2.39B, subtracting 469, 418 and 66 M respictevly, leaving roughly 1,437.
</t>
        </r>
      </text>
    </comment>
    <comment ref="J30" authorId="0" shapeId="0" xr:uid="{27B01E3C-7AF3-4E80-9609-BFDAD0A788D3}">
      <text>
        <r>
          <rPr>
            <b/>
            <sz val="9"/>
            <color indexed="81"/>
            <rFont val="Tahoma"/>
            <family val="2"/>
          </rPr>
          <t>Troy Slack:</t>
        </r>
        <r>
          <rPr>
            <sz val="9"/>
            <color indexed="81"/>
            <rFont val="Tahoma"/>
            <family val="2"/>
          </rPr>
          <t xml:space="preserve">
source; 10-q</t>
        </r>
      </text>
    </comment>
    <comment ref="I35" authorId="0" shapeId="0" xr:uid="{D67640DA-F9C5-4A1B-B126-E881FD39826D}">
      <text>
        <r>
          <rPr>
            <b/>
            <sz val="9"/>
            <color indexed="81"/>
            <rFont val="Tahoma"/>
            <family val="2"/>
          </rPr>
          <t>Troy Slack:</t>
        </r>
        <r>
          <rPr>
            <sz val="9"/>
            <color indexed="81"/>
            <rFont val="Tahoma"/>
            <family val="2"/>
          </rPr>
          <t xml:space="preserve">
Based on outcomes H1 actual being +17/5% YoY. ARR printed at 21%, accelerating. Based on outcomes revenue increasing by 13%, we are assuming H2 to increase by 17.5% YOY
</t>
        </r>
      </text>
    </comment>
    <comment ref="J43" authorId="0" shapeId="0" xr:uid="{2F055F17-7C19-48ED-A649-58B5F84D4A8E}">
      <text>
        <r>
          <rPr>
            <b/>
            <sz val="9"/>
            <color indexed="81"/>
            <rFont val="Tahoma"/>
            <family val="2"/>
          </rPr>
          <t>Troy Slack:</t>
        </r>
        <r>
          <rPr>
            <sz val="9"/>
            <color indexed="81"/>
            <rFont val="Tahoma"/>
            <family val="2"/>
          </rPr>
          <t xml:space="preserve">
source; 10-q
</t>
        </r>
      </text>
    </comment>
    <comment ref="J48" authorId="0" shapeId="0" xr:uid="{E69039C3-E7D8-450B-BB35-826FFC1FAFAD}">
      <text>
        <r>
          <rPr>
            <b/>
            <sz val="9"/>
            <color indexed="81"/>
            <rFont val="Tahoma"/>
            <family val="2"/>
          </rPr>
          <t>Troy Slack:</t>
        </r>
        <r>
          <rPr>
            <sz val="9"/>
            <color indexed="81"/>
            <rFont val="Tahoma"/>
            <family val="2"/>
          </rPr>
          <t xml:space="preserve">
Still tracking the 65-70M range, assuming it ends somewhere in the middle.
</t>
        </r>
      </text>
    </comment>
    <comment ref="J56" authorId="0" shapeId="0" xr:uid="{88A3350F-D8FE-46C2-819B-BF9A59A25877}">
      <text>
        <r>
          <rPr>
            <b/>
            <sz val="9"/>
            <color indexed="81"/>
            <rFont val="Tahoma"/>
            <family val="2"/>
          </rPr>
          <t>Troy Slack:</t>
        </r>
        <r>
          <rPr>
            <sz val="9"/>
            <color indexed="81"/>
            <rFont val="Tahoma"/>
            <family val="2"/>
          </rPr>
          <t xml:space="preserve">
source;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Troy Slack</author>
  </authors>
  <commentList>
    <comment ref="F26" authorId="0" shapeId="0" xr:uid="{6847FD75-7739-4FB9-9515-F30A4A71610B}">
      <text>
        <r>
          <rPr>
            <b/>
            <sz val="9"/>
            <color indexed="81"/>
            <rFont val="Tahoma"/>
            <family val="2"/>
          </rPr>
          <t>Troy Slack:</t>
        </r>
        <r>
          <rPr>
            <sz val="9"/>
            <color indexed="81"/>
            <rFont val="Tahoma"/>
            <family val="2"/>
          </rPr>
          <t xml:space="preserve">
No goodwill impairment line reported in the FY2025 10-K (2024/2025).</t>
        </r>
      </text>
    </comment>
    <comment ref="G26" authorId="0" shapeId="0" xr:uid="{7FB947AE-AC8B-4928-A9B1-C020AB3A652D}">
      <text>
        <r>
          <rPr>
            <b/>
            <sz val="9"/>
            <color indexed="81"/>
            <rFont val="Tahoma"/>
            <family val="2"/>
          </rPr>
          <t>Troy Slack:</t>
        </r>
        <r>
          <rPr>
            <sz val="9"/>
            <color indexed="81"/>
            <rFont val="Tahoma"/>
            <family val="2"/>
          </rPr>
          <t xml:space="preserve">
No goodwill impairment line reported in the FY2025 10-K (2024/2025).</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<sst xmlns="http://schemas.openxmlformats.org/spreadsheetml/2006/main" count="1176" uniqueCount="583">
  <si>
    <t>Assumptions</t>
  </si>
  <si>
    <t>WACC</t>
  </si>
  <si>
    <t>implied stock price</t>
  </si>
  <si>
    <t>TGR</t>
  </si>
  <si>
    <t>Valuation Date</t>
  </si>
  <si>
    <t>FY2026 Year End</t>
  </si>
  <si>
    <t>Implied Upside (downside)</t>
  </si>
  <si>
    <t>Current Stock Price</t>
  </si>
  <si>
    <t>stub fraction</t>
  </si>
  <si>
    <t>tv exponent</t>
  </si>
  <si>
    <t>Financials</t>
  </si>
  <si>
    <t xml:space="preserve">Revenue </t>
  </si>
  <si>
    <t>2021A</t>
  </si>
  <si>
    <t>2022A</t>
  </si>
  <si>
    <t>2023A</t>
  </si>
  <si>
    <t>2024A</t>
  </si>
  <si>
    <t>2025A</t>
  </si>
  <si>
    <t>2026E</t>
  </si>
  <si>
    <t>2027E</t>
  </si>
  <si>
    <t>2028E</t>
  </si>
  <si>
    <t>2029E</t>
  </si>
  <si>
    <t>2030E</t>
  </si>
  <si>
    <t>2031E</t>
  </si>
  <si>
    <t>2032E</t>
  </si>
  <si>
    <t>2033E</t>
  </si>
  <si>
    <t>2034E</t>
  </si>
  <si>
    <t>2035E</t>
  </si>
  <si>
    <t>% growth</t>
  </si>
  <si>
    <t>na</t>
  </si>
  <si>
    <t>% of sales</t>
  </si>
  <si>
    <t>Total</t>
  </si>
  <si>
    <t>EBIT</t>
  </si>
  <si>
    <t>%sales</t>
  </si>
  <si>
    <t>% of total ebit</t>
  </si>
  <si>
    <t>% sales</t>
  </si>
  <si>
    <t>% sales (EBIT margin)</t>
  </si>
  <si>
    <t>Taxes</t>
  </si>
  <si>
    <t>tax rate</t>
  </si>
  <si>
    <t>Cash Flow Items</t>
  </si>
  <si>
    <t>D&amp;A</t>
  </si>
  <si>
    <t>% of capex</t>
  </si>
  <si>
    <t>Change in NWC</t>
  </si>
  <si>
    <t>DCF</t>
  </si>
  <si>
    <t>Revenue</t>
  </si>
  <si>
    <t>EBIAT</t>
  </si>
  <si>
    <t>Unlevered FCF</t>
  </si>
  <si>
    <t>n</t>
  </si>
  <si>
    <t>PV of UFCF</t>
  </si>
  <si>
    <t>Terminal Value</t>
  </si>
  <si>
    <t>PV of TV</t>
  </si>
  <si>
    <t>Enterprise Value</t>
  </si>
  <si>
    <t>(+) cash</t>
  </si>
  <si>
    <t>(-) debt</t>
  </si>
  <si>
    <t>Equity value</t>
  </si>
  <si>
    <t>Shares outstanding</t>
  </si>
  <si>
    <t>Implied Share Price</t>
  </si>
  <si>
    <t>DCF Model Template</t>
  </si>
  <si>
    <t>Year Ended December 31, 2025</t>
  </si>
  <si>
    <t>In thousands</t>
  </si>
  <si>
    <t>Device Solutions</t>
  </si>
  <si>
    <t>Networked Solutions</t>
  </si>
  <si>
    <t>Outcomes</t>
  </si>
  <si>
    <t>Resiliency Solutions</t>
  </si>
  <si>
    <t>Product revenues</t>
  </si>
  <si>
    <t>$</t>
  </si>
  <si>
    <t>444,598 </t>
  </si>
  <si>
    <t>1,442,243 </t>
  </si>
  <si>
    <t>122,135 </t>
  </si>
  <si>
    <t>— </t>
  </si>
  <si>
    <t>2,008,976 </t>
  </si>
  <si>
    <t>Service revenues</t>
  </si>
  <si>
    <t>2,483 </t>
  </si>
  <si>
    <t>115,078 </t>
  </si>
  <si>
    <t>237,608 </t>
  </si>
  <si>
    <t>3,049 </t>
  </si>
  <si>
    <t>358,218 </t>
  </si>
  <si>
    <t>Total revenues</t>
  </si>
  <si>
    <t>447,081 </t>
  </si>
  <si>
    <t>1,557,321 </t>
  </si>
  <si>
    <t>359,743 </t>
  </si>
  <si>
    <t>2,367,194 </t>
  </si>
  <si>
    <r>
      <t>Adjusted cost of revenues </t>
    </r>
    <r>
      <rPr>
        <sz val="5.85"/>
        <color rgb="FF000000"/>
        <rFont val="Times New Roman"/>
        <family val="1"/>
      </rPr>
      <t>(1)</t>
    </r>
  </si>
  <si>
    <t>307,682 </t>
  </si>
  <si>
    <t>948,745 </t>
  </si>
  <si>
    <t>216,839 </t>
  </si>
  <si>
    <t>732 </t>
  </si>
  <si>
    <t>Adjusted sales, general and administrative</t>
  </si>
  <si>
    <t>13,283 </t>
  </si>
  <si>
    <t>27,929 </t>
  </si>
  <si>
    <t>16,921 </t>
  </si>
  <si>
    <t>1,000 </t>
  </si>
  <si>
    <t>Adjusted research and development</t>
  </si>
  <si>
    <t>17,399 </t>
  </si>
  <si>
    <t>108,247 </t>
  </si>
  <si>
    <t>48,991 </t>
  </si>
  <si>
    <t>1,426 </t>
  </si>
  <si>
    <t>Adjusted segment operating income (loss)</t>
  </si>
  <si>
    <t>108,717 </t>
  </si>
  <si>
    <t>472,400 </t>
  </si>
  <si>
    <t>76,992 </t>
  </si>
  <si>
    <t>658,000 </t>
  </si>
  <si>
    <t>Reconciliation of adjusted segment operating income (loss)</t>
  </si>
  <si>
    <t>Amortization of core-developed technology intangible assets</t>
  </si>
  <si>
    <t>Corporate unallocated expenses</t>
  </si>
  <si>
    <t>Total other income (expense)</t>
  </si>
  <si>
    <t>29,199 </t>
  </si>
  <si>
    <t>Consolidated income before income taxes</t>
  </si>
  <si>
    <t>342,267 </t>
  </si>
  <si>
    <t>Year Ended December 31, 2024</t>
  </si>
  <si>
    <t>473,329 </t>
  </si>
  <si>
    <t>1,546,278 </t>
  </si>
  <si>
    <t>111,772 </t>
  </si>
  <si>
    <t>2,131,379 </t>
  </si>
  <si>
    <t>3,248 </t>
  </si>
  <si>
    <t>103,797 </t>
  </si>
  <si>
    <t>202,413 </t>
  </si>
  <si>
    <t>309,458 </t>
  </si>
  <si>
    <t>476,577 </t>
  </si>
  <si>
    <t>1,650,075 </t>
  </si>
  <si>
    <t>314,185 </t>
  </si>
  <si>
    <t>2,440,837 </t>
  </si>
  <si>
    <t>353,113 </t>
  </si>
  <si>
    <t>1,052,295 </t>
  </si>
  <si>
    <t>196,112 </t>
  </si>
  <si>
    <t>13,627 </t>
  </si>
  <si>
    <t>27,676 </t>
  </si>
  <si>
    <t>15,826 </t>
  </si>
  <si>
    <t>16,315 </t>
  </si>
  <si>
    <t>113,442 </t>
  </si>
  <si>
    <t>50,517 </t>
  </si>
  <si>
    <t>93,522 </t>
  </si>
  <si>
    <t>456,662 </t>
  </si>
  <si>
    <t>51,730 </t>
  </si>
  <si>
    <t>601,914 </t>
  </si>
  <si>
    <t>20,421 </t>
  </si>
  <si>
    <t>284,531 </t>
  </si>
  <si>
    <t>n thousands</t>
  </si>
  <si>
    <t>452,718 </t>
  </si>
  <si>
    <t>1,331,546 </t>
  </si>
  <si>
    <t>79,225 </t>
  </si>
  <si>
    <t>1,863,489 </t>
  </si>
  <si>
    <t>3,008 </t>
  </si>
  <si>
    <t>118,745 </t>
  </si>
  <si>
    <t>188,391 </t>
  </si>
  <si>
    <t>310,144 </t>
  </si>
  <si>
    <t>455,726 </t>
  </si>
  <si>
    <t>1,450,291 </t>
  </si>
  <si>
    <t>267,616 </t>
  </si>
  <si>
    <t>2,173,633 </t>
  </si>
  <si>
    <t>349,809 </t>
  </si>
  <si>
    <t>950,566 </t>
  </si>
  <si>
    <t>159,350 </t>
  </si>
  <si>
    <t>13,846 </t>
  </si>
  <si>
    <t>26,055 </t>
  </si>
  <si>
    <t>14,428 </t>
  </si>
  <si>
    <t>26,381 </t>
  </si>
  <si>
    <t>104,749 </t>
  </si>
  <si>
    <t>43,492 </t>
  </si>
  <si>
    <t>65,690 </t>
  </si>
  <si>
    <t>368,921 </t>
  </si>
  <si>
    <t>50,346 </t>
  </si>
  <si>
    <t>484,957 </t>
  </si>
  <si>
    <t>127,386 </t>
  </si>
  <si>
    <t>433,354 </t>
  </si>
  <si>
    <t>635,103 </t>
  </si>
  <si>
    <t>1,002,156 </t>
  </si>
  <si>
    <t>974,531 </t>
  </si>
  <si>
    <t>64,733 </t>
  </si>
  <si>
    <t>68,561 </t>
  </si>
  <si>
    <t>Total Company</t>
  </si>
  <si>
    <t>1,500,243 </t>
  </si>
  <si>
    <t>1,678,195 </t>
  </si>
  <si>
    <t>5,356 </t>
  </si>
  <si>
    <t>10,001 </t>
  </si>
  <si>
    <t>117,112 </t>
  </si>
  <si>
    <t>118,100 </t>
  </si>
  <si>
    <t>172,853 </t>
  </si>
  <si>
    <t>175,276 </t>
  </si>
  <si>
    <t>295,321 </t>
  </si>
  <si>
    <t>303,377 </t>
  </si>
  <si>
    <t>438,710 </t>
  </si>
  <si>
    <t>645,104 </t>
  </si>
  <si>
    <t>1,119,268 </t>
  </si>
  <si>
    <t>1,092,631 </t>
  </si>
  <si>
    <t>237,586 </t>
  </si>
  <si>
    <t>243,837 </t>
  </si>
  <si>
    <t>1,795,564 </t>
  </si>
  <si>
    <t>1,981,572 </t>
  </si>
  <si>
    <t>Gross profit</t>
  </si>
  <si>
    <t>105,917 </t>
  </si>
  <si>
    <t>61,778 </t>
  </si>
  <si>
    <t>99,355 </t>
  </si>
  <si>
    <t>499,725 </t>
  </si>
  <si>
    <t>361,975 </t>
  </si>
  <si>
    <t>378,633 </t>
  </si>
  <si>
    <t>108,266 </t>
  </si>
  <si>
    <t>98,436 </t>
  </si>
  <si>
    <t>95,181 </t>
  </si>
  <si>
    <t>713,908 </t>
  </si>
  <si>
    <t>522,189 </t>
  </si>
  <si>
    <t>573,169 </t>
  </si>
  <si>
    <t>Operating income (loss)</t>
  </si>
  <si>
    <t>26,703 </t>
  </si>
  <si>
    <t>57,217 </t>
  </si>
  <si>
    <t>248,268 </t>
  </si>
  <si>
    <t>254,434 </t>
  </si>
  <si>
    <t>46,247 </t>
  </si>
  <si>
    <t>50,631 </t>
  </si>
  <si>
    <t>Corporate unallocated</t>
  </si>
  <si>
    <t>128,867 </t>
  </si>
  <si>
    <t>Income (loss) before income taxes</t>
  </si>
  <si>
    <t>Segment Financials — Consolidated (FY2021–FY2025)</t>
  </si>
  <si>
    <t>$ in thousands, unless noted. Source: 'segments (raw)' tab (company 10-K / earnings release segment disclosures).</t>
  </si>
  <si>
    <t>Product Revenue</t>
  </si>
  <si>
    <t>Service Revenue</t>
  </si>
  <si>
    <t>Total Revenue</t>
  </si>
  <si>
    <t>Adjusted COGS</t>
  </si>
  <si>
    <t>Gross Profit</t>
  </si>
  <si>
    <t>Gross Margin %</t>
  </si>
  <si>
    <t>Adjusted SG&amp;A</t>
  </si>
  <si>
    <t>Adjusted R&amp;D</t>
  </si>
  <si>
    <t>Operating Income</t>
  </si>
  <si>
    <t>Operating Margin %</t>
  </si>
  <si>
    <t>n/a</t>
  </si>
  <si>
    <t>Note: Resiliency Solutions was first reported as a separate segment in FY2025; prior years are not broken out in the source disclosures.</t>
  </si>
  <si>
    <t>Total Segment Operating Income</t>
  </si>
  <si>
    <t>(-) Amortization of core-developed intangibles</t>
  </si>
  <si>
    <t>(-) Corporate unallocated expenses</t>
  </si>
  <si>
    <t>Consolidated Operating Income</t>
  </si>
  <si>
    <t>(+/-) Total other income (expense)</t>
  </si>
  <si>
    <t>Income Before Income Taxes</t>
  </si>
  <si>
    <t>Total (Consol. Income Before Taxes)</t>
  </si>
  <si>
    <t>ITRON, INC.</t>
  </si>
  <si>
    <t>CONSOLIDATED STATEMENTS OF OPERATIONS</t>
  </si>
  <si>
    <t>Year Ended December 31,</t>
  </si>
  <si>
    <t>In thousands, except per share data</t>
  </si>
  <si>
    <t>Revenues</t>
  </si>
  <si>
    <t>Cost of revenues</t>
  </si>
  <si>
    <t>Product cost of revenues</t>
  </si>
  <si>
    <t>1,292,329 </t>
  </si>
  <si>
    <t>1,429,942 </t>
  </si>
  <si>
    <t>1,292,170 </t>
  </si>
  <si>
    <t>Service cost of revenues</t>
  </si>
  <si>
    <t>182,747 </t>
  </si>
  <si>
    <t>171,578 </t>
  </si>
  <si>
    <t>167,555 </t>
  </si>
  <si>
    <t>Total cost of revenues</t>
  </si>
  <si>
    <t>1,475,076 </t>
  </si>
  <si>
    <t>1,601,520 </t>
  </si>
  <si>
    <t>1,459,725 </t>
  </si>
  <si>
    <t>892,118 </t>
  </si>
  <si>
    <t>839,317 </t>
  </si>
  <si>
    <t>Operating expenses</t>
  </si>
  <si>
    <t>Sales, general and administrative</t>
  </si>
  <si>
    <t>352,965 </t>
  </si>
  <si>
    <t>339,069 </t>
  </si>
  <si>
    <t>312,779 </t>
  </si>
  <si>
    <t>Research and development</t>
  </si>
  <si>
    <t>207,041 </t>
  </si>
  <si>
    <t>215,034 </t>
  </si>
  <si>
    <t>208,688 </t>
  </si>
  <si>
    <t>Amortization of intangible assets</t>
  </si>
  <si>
    <t>18,034 </t>
  </si>
  <si>
    <t>17,828 </t>
  </si>
  <si>
    <t>18,918 </t>
  </si>
  <si>
    <t>Restructuring</t>
  </si>
  <si>
    <t>931 </t>
  </si>
  <si>
    <t>2,679 </t>
  </si>
  <si>
    <t>43,989 </t>
  </si>
  <si>
    <t>Loss on sale of business</t>
  </si>
  <si>
    <t>79 </t>
  </si>
  <si>
    <t>597 </t>
  </si>
  <si>
    <t>667 </t>
  </si>
  <si>
    <t>Total operating expenses</t>
  </si>
  <si>
    <t>579,050 </t>
  </si>
  <si>
    <t>575,207 </t>
  </si>
  <si>
    <t>585,041 </t>
  </si>
  <si>
    <t>Operating income</t>
  </si>
  <si>
    <t>313,068 </t>
  </si>
  <si>
    <t>264,110 </t>
  </si>
  <si>
    <t>Other income (expense)</t>
  </si>
  <si>
    <t>Interest income</t>
  </si>
  <si>
    <t>48,376 </t>
  </si>
  <si>
    <t>34,577 </t>
  </si>
  <si>
    <t>9,314 </t>
  </si>
  <si>
    <t>Interest expense</t>
  </si>
  <si>
    <t>Other income (expense), net</t>
  </si>
  <si>
    <t>3,274 </t>
  </si>
  <si>
    <t>1,223 </t>
  </si>
  <si>
    <t>Income before income taxes</t>
  </si>
  <si>
    <t>Income tax provision</t>
  </si>
  <si>
    <t>Net income</t>
  </si>
  <si>
    <t>303,335 </t>
  </si>
  <si>
    <t>241,124 </t>
  </si>
  <si>
    <t>98,318 </t>
  </si>
  <si>
    <t>Net income attributable to noncontrolling interests</t>
  </si>
  <si>
    <t>2,280 </t>
  </si>
  <si>
    <t>2,019 </t>
  </si>
  <si>
    <t>1,395 </t>
  </si>
  <si>
    <t>Net income attributable to Itron, Inc.</t>
  </si>
  <si>
    <t>301,055 </t>
  </si>
  <si>
    <t>239,105 </t>
  </si>
  <si>
    <t>96,923 </t>
  </si>
  <si>
    <t>Net income per common share - Basic</t>
  </si>
  <si>
    <t>6.62 </t>
  </si>
  <si>
    <t>5.27 </t>
  </si>
  <si>
    <t>2.13 </t>
  </si>
  <si>
    <t>Net income per common share - Diluted</t>
  </si>
  <si>
    <t>6.50 </t>
  </si>
  <si>
    <t>5.18 </t>
  </si>
  <si>
    <t>2.11 </t>
  </si>
  <si>
    <t>Weighted average common shares outstanding - Basic</t>
  </si>
  <si>
    <t>45,492 </t>
  </si>
  <si>
    <t>45,368 </t>
  </si>
  <si>
    <t>45,421 </t>
  </si>
  <si>
    <t>Weighted average common shares outstanding - Diluted</t>
  </si>
  <si>
    <t>46,323 </t>
  </si>
  <si>
    <t>46,187 </t>
  </si>
  <si>
    <t>45,836 </t>
  </si>
  <si>
    <t>1,102,475 </t>
  </si>
  <si>
    <t>1,231,230 </t>
  </si>
  <si>
    <t>170,900 </t>
  </si>
  <si>
    <t>177,173 </t>
  </si>
  <si>
    <t>1,273,375 </t>
  </si>
  <si>
    <t>1,408,403 </t>
  </si>
  <si>
    <t>290,453 </t>
  </si>
  <si>
    <t>300,520 </t>
  </si>
  <si>
    <t>185,098 </t>
  </si>
  <si>
    <t>197,235 </t>
  </si>
  <si>
    <t>25,717 </t>
  </si>
  <si>
    <t>35,801 </t>
  </si>
  <si>
    <t>54,623 </t>
  </si>
  <si>
    <t>Loss on sale of businesses</t>
  </si>
  <si>
    <t>3,505 </t>
  </si>
  <si>
    <t>64,289 </t>
  </si>
  <si>
    <t>Goodwill impairment</t>
  </si>
  <si>
    <t>38,480 </t>
  </si>
  <si>
    <t>529,628 </t>
  </si>
  <si>
    <t>652,468 </t>
  </si>
  <si>
    <t>2,633 </t>
  </si>
  <si>
    <t>1,557 </t>
  </si>
  <si>
    <t>Income tax benefit (provision)</t>
  </si>
  <si>
    <t>6,196 </t>
  </si>
  <si>
    <t>45,512 </t>
  </si>
  <si>
    <t>Net income (loss)</t>
  </si>
  <si>
    <t>185 </t>
  </si>
  <si>
    <t>2,957 </t>
  </si>
  <si>
    <t>Net income (loss) attributable to Itron, Inc.</t>
  </si>
  <si>
    <t>Net income (loss) per common share - Basic</t>
  </si>
  <si>
    <t>Net income (loss) per common share - Diluted</t>
  </si>
  <si>
    <t>45,101 </t>
  </si>
  <si>
    <t>44,301 </t>
  </si>
  <si>
    <t>Consolidated Income Statement (FY2021–FY2025)</t>
  </si>
  <si>
    <t>$ in thousands, except per share data. Source: 'is raw' tab (company 10-K consolidated statements of operations).</t>
  </si>
  <si>
    <t>Gross margin %</t>
  </si>
  <si>
    <t>Loss on sale of business(es)</t>
  </si>
  <si>
    <t>Operating margin %</t>
  </si>
  <si>
    <t>Effective tax rate %</t>
  </si>
  <si>
    <t>Net margin %</t>
  </si>
  <si>
    <t>Less: Net income attributable to noncontrolling interests</t>
  </si>
  <si>
    <t>Net income per share — Basic</t>
  </si>
  <si>
    <t>Net income per share — Diluted</t>
  </si>
  <si>
    <t>Wtd avg shares outstanding — Basic</t>
  </si>
  <si>
    <t>Wtd avg shares outstanding — Diluted</t>
  </si>
  <si>
    <t>2026 Q1</t>
  </si>
  <si>
    <t>2026 Q2</t>
  </si>
  <si>
    <t>2026 Q3</t>
  </si>
  <si>
    <t>2026 Q4</t>
  </si>
  <si>
    <t>NA</t>
  </si>
  <si>
    <t>CONSOLIDATED STATEMENTS OF CASH FLOWS</t>
  </si>
  <si>
    <t>Operating activities</t>
  </si>
  <si>
    <t>Adjustments to reconcile net income (loss) to net cash provided by operating activities:</t>
  </si>
  <si>
    <t>Depreciation and amortization of intangible assets</t>
  </si>
  <si>
    <t>55,763 </t>
  </si>
  <si>
    <t>66,763 </t>
  </si>
  <si>
    <t>84,153 </t>
  </si>
  <si>
    <t>Non-cash operating lease expense</t>
  </si>
  <si>
    <t>16,454 </t>
  </si>
  <si>
    <t>16,257 </t>
  </si>
  <si>
    <t>17,107 </t>
  </si>
  <si>
    <t>Stock-based compensation</t>
  </si>
  <si>
    <t>28,357 </t>
  </si>
  <si>
    <t>21,881 </t>
  </si>
  <si>
    <t>23,618 </t>
  </si>
  <si>
    <t>Amortization of prepaid debt fees</t>
  </si>
  <si>
    <t>3,664 </t>
  </si>
  <si>
    <t>3,499 </t>
  </si>
  <si>
    <t>18,253 </t>
  </si>
  <si>
    <t>Deferred taxes, net</t>
  </si>
  <si>
    <t>Loss on extinguishment of debt, net</t>
  </si>
  <si>
    <t>10,000 </t>
  </si>
  <si>
    <t>Restructuring, non-cash</t>
  </si>
  <si>
    <t>385 </t>
  </si>
  <si>
    <t>8,744 </t>
  </si>
  <si>
    <t>Other adjustments, net</t>
  </si>
  <si>
    <t>11,678 </t>
  </si>
  <si>
    <t>2,930 </t>
  </si>
  <si>
    <t>Changes in operating assets and liabilities, net of acquisitions and sale of businesses:</t>
  </si>
  <si>
    <t>Accounts receivable</t>
  </si>
  <si>
    <t>5,064 </t>
  </si>
  <si>
    <t>60,242 </t>
  </si>
  <si>
    <t>Inventories</t>
  </si>
  <si>
    <t>Other current assets</t>
  </si>
  <si>
    <t>41,461 </t>
  </si>
  <si>
    <t>Other long-term assets</t>
  </si>
  <si>
    <t>2,317 </t>
  </si>
  <si>
    <t>4,515 </t>
  </si>
  <si>
    <t>Accounts payable, other current liabilities, and taxes payable</t>
  </si>
  <si>
    <t>45,085 </t>
  </si>
  <si>
    <t>Wages and benefits payable</t>
  </si>
  <si>
    <t>44,700 </t>
  </si>
  <si>
    <t>30,915 </t>
  </si>
  <si>
    <t>Unearned revenue</t>
  </si>
  <si>
    <t>28,329 </t>
  </si>
  <si>
    <t>18,466 </t>
  </si>
  <si>
    <t>Warranty</t>
  </si>
  <si>
    <t>29,866 </t>
  </si>
  <si>
    <t>15,967 </t>
  </si>
  <si>
    <t>Other operating, net</t>
  </si>
  <si>
    <t>12,423 </t>
  </si>
  <si>
    <t>1,058 </t>
  </si>
  <si>
    <t>Net cash provided by operating activities</t>
  </si>
  <si>
    <t>124,971 </t>
  </si>
  <si>
    <t>24,500 </t>
  </si>
  <si>
    <t>154,794 </t>
  </si>
  <si>
    <t>Investing activities</t>
  </si>
  <si>
    <t>Net proceeds (payments) related to the sale of businesses</t>
  </si>
  <si>
    <t>55,933 </t>
  </si>
  <si>
    <t>3,142 </t>
  </si>
  <si>
    <t>Acquisitions of property, plant, and equipment</t>
  </si>
  <si>
    <t>Business acquisitions, net of cash and cash equivalents acquired</t>
  </si>
  <si>
    <t>23 </t>
  </si>
  <si>
    <t>Other investing, net</t>
  </si>
  <si>
    <t>4,348 </t>
  </si>
  <si>
    <t>4,307 </t>
  </si>
  <si>
    <t>5,326 </t>
  </si>
  <si>
    <t>Net cash provided by (used in) investing activities</t>
  </si>
  <si>
    <t>40,516 </t>
  </si>
  <si>
    <t>Financing activities</t>
  </si>
  <si>
    <t>Proceeds from borrowings</t>
  </si>
  <si>
    <t>460,000 </t>
  </si>
  <si>
    <t>Payments on debt</t>
  </si>
  <si>
    <t>Issuance of common stock</t>
  </si>
  <si>
    <t>3,674 </t>
  </si>
  <si>
    <t>3,452 </t>
  </si>
  <si>
    <t>5,080 </t>
  </si>
  <si>
    <t>Proceeds from common stock offering</t>
  </si>
  <si>
    <t>389,419 </t>
  </si>
  <si>
    <t>Proceeds from sale of warrants</t>
  </si>
  <si>
    <t>45,349 </t>
  </si>
  <si>
    <t>Purchases of convertible note hedge contracts</t>
  </si>
  <si>
    <t>Repurchase of common stock</t>
  </si>
  <si>
    <t>Prepaid debt fees</t>
  </si>
  <si>
    <t>Other financing, net</t>
  </si>
  <si>
    <t>Net cash used in financing activities</t>
  </si>
  <si>
    <t>Less: Cash classified within assets held for sale</t>
  </si>
  <si>
    <t>Effect of foreign exchange rate changes on cash and cash equivalents</t>
  </si>
  <si>
    <t>1,887 </t>
  </si>
  <si>
    <t>Increase (decrease) in cash and cash equivalents</t>
  </si>
  <si>
    <t>100,042 </t>
  </si>
  <si>
    <t>39,428 </t>
  </si>
  <si>
    <t>Cash and cash equivalents at beginning of period</t>
  </si>
  <si>
    <t>202,007 </t>
  </si>
  <si>
    <t>162,579 </t>
  </si>
  <si>
    <t>206,933 </t>
  </si>
  <si>
    <t>Cash and cash equivalents at end of period</t>
  </si>
  <si>
    <t>302,049 </t>
  </si>
  <si>
    <t>Supplemental disclosure of cash flow information:</t>
  </si>
  <si>
    <t>Cash paid during the period for:</t>
  </si>
  <si>
    <t>Income taxes, net</t>
  </si>
  <si>
    <t>54,550 </t>
  </si>
  <si>
    <t>11,915 </t>
  </si>
  <si>
    <t>7,073 </t>
  </si>
  <si>
    <t>Interest</t>
  </si>
  <si>
    <t>1,832 </t>
  </si>
  <si>
    <t>1,622 </t>
  </si>
  <si>
    <t>8,983 </t>
  </si>
  <si>
    <t>Non-cash operating, investing and financing activities:</t>
  </si>
  <si>
    <t>Deferred tax on purchase of convertible note hedge contracts</t>
  </si>
  <si>
    <t>Adjustments to reconcile net income to net cash provided by operating activities:</t>
  </si>
  <si>
    <t>49,517 </t>
  </si>
  <si>
    <t>56,277 </t>
  </si>
  <si>
    <t>20,597 </t>
  </si>
  <si>
    <t>62,449 </t>
  </si>
  <si>
    <t>43,874 </t>
  </si>
  <si>
    <t>7,077 </t>
  </si>
  <si>
    <t>5,489 </t>
  </si>
  <si>
    <t>64,945 </t>
  </si>
  <si>
    <t>Changes in operating assets and liabilities, net of acquisitions and sale of business:</t>
  </si>
  <si>
    <t>32,682 </t>
  </si>
  <si>
    <t>5,969 </t>
  </si>
  <si>
    <t>15,165 </t>
  </si>
  <si>
    <t>6,276 </t>
  </si>
  <si>
    <t>3,784 </t>
  </si>
  <si>
    <t>28,624 </t>
  </si>
  <si>
    <t>29,319 </t>
  </si>
  <si>
    <t>210 </t>
  </si>
  <si>
    <t>405,952 </t>
  </si>
  <si>
    <t>238,175 </t>
  </si>
  <si>
    <t>Net proceeds (payments) related to the sale of business</t>
  </si>
  <si>
    <t>278 </t>
  </si>
  <si>
    <t>405 </t>
  </si>
  <si>
    <t>850 </t>
  </si>
  <si>
    <t>Net cash used in investing activities</t>
  </si>
  <si>
    <t>805,000 </t>
  </si>
  <si>
    <t>7,320 </t>
  </si>
  <si>
    <t>8,321 </t>
  </si>
  <si>
    <t>Payments on call spread for convertible offering</t>
  </si>
  <si>
    <t>Net cash provided by (used in) financing activities</t>
  </si>
  <si>
    <t>579,573 </t>
  </si>
  <si>
    <t>10,322 </t>
  </si>
  <si>
    <t>(Decrease) increase in cash and cash equivalents</t>
  </si>
  <si>
    <t>749,188 </t>
  </si>
  <si>
    <t>1,051,237 </t>
  </si>
  <si>
    <t>1,020,397 </t>
  </si>
  <si>
    <t>56,316 </t>
  </si>
  <si>
    <t>80,172 </t>
  </si>
  <si>
    <t>13,154 </t>
  </si>
  <si>
    <t>1,342 </t>
  </si>
  <si>
    <t>Deferred tax effect of call spread offerings</t>
  </si>
  <si>
    <t>26,693 </t>
  </si>
  <si>
    <t>—</t>
  </si>
  <si>
    <t>Consolidated Statements of Cash Flows (FY2021–FY2025)</t>
  </si>
  <si>
    <t>$ in thousands. Source: 'cf (raw)' tab — FY2023 10-K (2021–2022) and FY2025 10-K (2023–2025).</t>
  </si>
  <si>
    <t>Changes in operating assets and liabilities:</t>
  </si>
  <si>
    <t>Net proceeds (payments) related to the sale of business(es)</t>
  </si>
  <si>
    <t>Supplemental disclosures</t>
  </si>
  <si>
    <t>Cash paid for income taxes, net</t>
  </si>
  <si>
    <t>Cash paid for interest</t>
  </si>
  <si>
    <t>% of change in revenue</t>
  </si>
  <si>
    <t>NWC vs. Revenue — Ratio Calibration for DCF Forecast</t>
  </si>
  <si>
    <t>Change in Revenue</t>
  </si>
  <si>
    <t>Change in NWC (use of cash = positive)</t>
  </si>
  <si>
    <t>ΔNWC ÷ ΔRevenue</t>
  </si>
  <si>
    <t>Average (growth years only, i.e. ΔRevenue &gt; 0)</t>
  </si>
  <si>
    <t>WACC =  (% Equity x Cost of Equity) + (% Debt x Cost of Debt x (1 -Tax rate))</t>
  </si>
  <si>
    <t>Cost of Equity = Risk Free Rate + (Beta x (Expected Market Return - Risk Free Rate))</t>
  </si>
  <si>
    <t>x</t>
  </si>
  <si>
    <t>Debt</t>
  </si>
  <si>
    <t>% Debt</t>
  </si>
  <si>
    <t>Cost of Debt</t>
  </si>
  <si>
    <t>Tax Rate</t>
  </si>
  <si>
    <t>Equity Value</t>
  </si>
  <si>
    <t>% Equity</t>
  </si>
  <si>
    <t>Cost of Equity</t>
  </si>
  <si>
    <t>Risk Free Rate</t>
  </si>
  <si>
    <t>Beta</t>
  </si>
  <si>
    <t>Market Risk Premium</t>
  </si>
  <si>
    <t>Debt + Equity</t>
  </si>
  <si>
    <t>Total Segment EBIT</t>
  </si>
  <si>
    <t>(-) Amortization of intangibles</t>
  </si>
  <si>
    <t>(+/-) Other income (expense)</t>
  </si>
  <si>
    <t>Terminal Reinvestment rate</t>
  </si>
  <si>
    <t xml:space="preserve">Terminal EBIAT </t>
  </si>
  <si>
    <t>Terminal FCFF</t>
  </si>
  <si>
    <t>Sales to Capital Ratio</t>
  </si>
  <si>
    <t>Maintenance capex % of sales</t>
  </si>
  <si>
    <r>
      <t xml:space="preserve">Change in NWC </t>
    </r>
    <r>
      <rPr>
        <b/>
        <sz val="14"/>
        <color rgb="FFC00000"/>
        <rFont val="Aptos Narrow"/>
        <family val="2"/>
        <scheme val="minor"/>
      </rPr>
      <t>(LEGACY)</t>
    </r>
  </si>
  <si>
    <t>Maintance Capex % of sales</t>
  </si>
  <si>
    <t>Growth reinvestment (change in revenue / sales-to-capital)</t>
  </si>
  <si>
    <r>
      <t xml:space="preserve">Capex  </t>
    </r>
    <r>
      <rPr>
        <b/>
        <sz val="14"/>
        <color rgb="FFC00000"/>
        <rFont val="Aptos Narrow"/>
        <family val="2"/>
        <scheme val="minor"/>
      </rPr>
      <t>(LEGACY)</t>
    </r>
  </si>
  <si>
    <t>Consolidated Capex</t>
  </si>
  <si>
    <r>
      <t xml:space="preserve">Capex </t>
    </r>
    <r>
      <rPr>
        <b/>
        <sz val="14"/>
        <color rgb="FFC00000"/>
        <rFont val="Aptos Narrow"/>
        <family val="2"/>
        <scheme val="minor"/>
      </rPr>
      <t>(LEGACY)</t>
    </r>
  </si>
  <si>
    <t>*numbers are not linked</t>
  </si>
  <si>
    <t>To do;</t>
  </si>
  <si>
    <t>Forecast out bear case, bull cases, better sensitivity tables</t>
  </si>
  <si>
    <t>In bull case, change terminal reinvestment to g/roic</t>
  </si>
  <si>
    <t>(itron sits at around 11%, meaning that terminal reinvestment would be</t>
  </si>
  <si>
    <t>This would stop from understating the value from the no excess returns convention I currently have.</t>
  </si>
  <si>
    <t>Learn more about reinvestment,and stripping out short-term acquisiton headwind in regard to sales to capital</t>
  </si>
  <si>
    <t>WACC step</t>
  </si>
  <si>
    <t>DCF (implied)</t>
  </si>
  <si>
    <t>Market</t>
  </si>
  <si>
    <t>Street consensus</t>
  </si>
  <si>
    <t>Itron (ITRI) — DCF Sensitivity: WACC × Terminal EBIT Margin → Share Price</t>
  </si>
  <si>
    <t>Base WACC</t>
  </si>
  <si>
    <t>Base Terminal Margin</t>
  </si>
  <si>
    <t>Margin step</t>
  </si>
  <si>
    <t>EBIT Margin ↓ / WACC →</t>
  </si>
  <si>
    <t>Metric</t>
  </si>
  <si>
    <t>Value per Share ($)</t>
  </si>
  <si>
    <t>2026 H1</t>
  </si>
  <si>
    <t>2026 H2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</si>
</sst>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m/dd/yyyy"/>
    <numFmt numFmtId="165" formatCode="0.0%"/>
    <numFmt numFmtId="166" formatCode="#,##0;\(#,##0\)"/>
    <numFmt numFmtId="167" formatCode="0_);\(0\)"/>
    <numFmt numFmtId="168" formatCode="0.00000"/>
    <numFmt numFmtId="169" formatCode="#,##0;\(#,##0\);\-"/>
    <numFmt numFmtId="170" formatCode="#,##0;\(#,##0\);&quot;-&quot;"/>
    <numFmt numFmtId="171" formatCode="0.0%;\(0.0%\)"/>
    <numFmt numFmtId="172" formatCode="0.00;\(0.00\)"/>
    <numFmt numFmtId="173" formatCode="0.00&quot;x&quot;"/>
    <numFmt numFmtId="174" formatCode="&quot;$&quot;#,##0.00"/>
  </numFmts>
  <fonts count="53"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b/>
      <sz val="14"/>
      <color theme="0"/>
      <name val="Aptos Narrow"/>
      <family val="2"/>
      <scheme val="minor"/>
    </font>
    <font>
      <sz val="14"/>
      <color theme="1"/>
      <name val="Aptos Narrow"/>
      <family val="2"/>
      <scheme val="minor"/>
    </font>
    <font>
      <sz val="14"/>
      <color rgb="FF000000"/>
      <name val="Aptos Narrow"/>
      <family val="2"/>
      <scheme val="minor"/>
    </font>
    <font>
      <sz val="14"/>
      <name val="Aptos Narrow"/>
      <family val="2"/>
      <scheme val="minor"/>
    </font>
    <font>
      <sz val="14"/>
      <color theme="1"/>
      <name val="Calibri"/>
      <family val="2"/>
    </font>
    <font>
      <b/>
      <sz val="14"/>
      <color theme="1"/>
      <name val="Calibri"/>
      <family val="2"/>
    </font>
    <font>
      <sz val="14"/>
      <color theme="6"/>
      <name val="Calibri"/>
      <family val="2"/>
    </font>
    <font>
      <sz val="14"/>
      <color theme="3" tint="0.749992370372631"/>
      <name val="Calibri"/>
      <family val="2"/>
    </font>
    <font>
      <b/>
      <sz val="14"/>
      <name val="Aptos Narrow"/>
      <family val="2"/>
      <scheme val="minor"/>
    </font>
    <font>
      <sz val="14"/>
      <color theme="4" tint="0.59999389629810485"/>
      <name val="Aptos Narrow"/>
      <family val="2"/>
      <scheme val="minor"/>
    </font>
    <font>
      <b/>
      <sz val="14"/>
      <color theme="1"/>
      <name val="Aptos Narrow"/>
      <family val="2"/>
      <scheme val="minor"/>
    </font>
    <font>
      <sz val="14"/>
      <color theme="6"/>
      <name val="Aptos Narrow"/>
      <family val="2"/>
      <scheme val="minor"/>
    </font>
    <font>
      <sz val="14"/>
      <color theme="8"/>
      <name val="Aptos Narrow"/>
      <family val="2"/>
      <scheme val="minor"/>
    </font>
    <font>
      <sz val="14"/>
      <color rgb="FFA02B93"/>
      <name val="Aptos Narrow"/>
      <family val="2"/>
      <scheme val="minor"/>
    </font>
    <font>
      <b/>
      <sz val="9"/>
      <color indexed="81"/>
      <name val="Tahoma"/>
      <family val="2"/>
    </font>
    <font>
      <sz val="9"/>
      <color indexed="81"/>
      <name val="Tahoma"/>
      <family val="2"/>
    </font>
    <font>
      <sz val="14"/>
      <color rgb="FF000000"/>
      <name val="Times New Roman"/>
      <family val="1"/>
    </font>
    <font>
      <b/>
      <sz val="9"/>
      <color rgb="FF000000"/>
      <name val="Times New Roman"/>
      <family val="1"/>
    </font>
    <font>
      <i/>
      <sz val="9"/>
      <color rgb="FF000000"/>
      <name val="Times New Roman"/>
      <family val="1"/>
    </font>
    <font>
      <sz val="9"/>
      <color rgb="FF000000"/>
      <name val="Times New Roman"/>
      <family val="1"/>
    </font>
    <font>
      <sz val="5.85"/>
      <color rgb="FF000000"/>
      <name val="Times New Roman"/>
      <family val="1"/>
    </font>
    <font>
      <b/>
      <sz val="14"/>
      <color rgb="FFFFFFFF"/>
      <name val="Aptos Narrow"/>
      <family val="2"/>
      <scheme val="minor"/>
    </font>
    <font>
      <i/>
      <sz val="10"/>
      <color theme="1"/>
      <name val="Aptos Narrow"/>
      <family val="2"/>
      <scheme val="minor"/>
    </font>
    <font>
      <b/>
      <sz val="11"/>
      <color rgb="FFFFFFFF"/>
      <name val="Aptos Narrow"/>
      <family val="2"/>
      <scheme val="minor"/>
    </font>
    <font>
      <b/>
      <sz val="12"/>
      <color theme="1"/>
      <name val="Aptos Narrow"/>
      <family val="2"/>
      <scheme val="minor"/>
    </font>
    <font>
      <i/>
      <sz val="9"/>
      <color theme="1"/>
      <name val="Aptos Narrow"/>
      <family val="2"/>
      <scheme val="minor"/>
    </font>
    <font>
      <b/>
      <sz val="10"/>
      <color rgb="FF000000"/>
      <name val="Times New Roman"/>
      <family val="1"/>
    </font>
    <font>
      <sz val="11"/>
      <color theme="1"/>
      <name val="Times New Roman"/>
      <family val="1"/>
    </font>
    <font>
      <i/>
      <sz val="10"/>
      <color rgb="FF000000"/>
      <name val="Times New Roman"/>
      <family val="1"/>
    </font>
    <font>
      <sz val="10"/>
      <color rgb="FF000000"/>
      <name val="Times New Roman"/>
      <family val="1"/>
    </font>
    <font>
      <i/>
      <sz val="9"/>
      <color rgb="FF666666"/>
      <name val="Aptos Narrow"/>
      <family val="2"/>
      <scheme val="minor"/>
    </font>
    <font>
      <i/>
      <sz val="11"/>
      <color theme="1"/>
      <name val="Aptos Narrow"/>
      <family val="2"/>
      <scheme val="minor"/>
    </font>
    <font>
      <b/>
      <i/>
      <sz val="11"/>
      <color theme="1"/>
      <name val="Aptos Narrow"/>
      <family val="2"/>
      <scheme val="minor"/>
    </font>
    <font>
      <sz val="11"/>
      <color rgb="FF008000"/>
      <name val="Aptos Narrow"/>
      <family val="2"/>
      <scheme val="minor"/>
    </font>
    <font>
      <sz val="11"/>
      <color rgb="FF0000FF"/>
      <name val="Aptos Narrow"/>
      <family val="2"/>
      <scheme val="minor"/>
    </font>
    <font>
      <sz val="14"/>
      <color theme="3" tint="0.749992370372631"/>
      <name val="Aptos Narrow"/>
      <family val="2"/>
      <scheme val="minor"/>
    </font>
    <font>
      <b/>
      <sz val="8"/>
      <color rgb="FF000000"/>
      <name val="Times New Roman"/>
      <family val="1"/>
    </font>
    <font>
      <i/>
      <sz val="8"/>
      <color rgb="FF000000"/>
      <name val="Times New Roman"/>
      <family val="1"/>
    </font>
    <font>
      <sz val="8"/>
      <color rgb="FF000000"/>
      <name val="Times New Roman"/>
      <family val="1"/>
    </font>
    <font>
      <i/>
      <sz val="9"/>
      <color rgb="FF808080"/>
      <name val="Aptos Narrow"/>
      <family val="2"/>
      <scheme val="minor"/>
    </font>
    <font>
      <i/>
      <sz val="11"/>
      <color rgb="FF808080"/>
      <name val="Aptos Narrow"/>
      <family val="2"/>
      <scheme val="minor"/>
    </font>
    <font>
      <b/>
      <sz val="16"/>
      <color theme="1"/>
      <name val="Aptos Narrow"/>
      <family val="2"/>
      <scheme val="minor"/>
    </font>
    <font>
      <sz val="14"/>
      <color rgb="FFC00000"/>
      <name val="Aptos Narrow"/>
      <family val="2"/>
      <scheme val="minor"/>
    </font>
    <font>
      <b/>
      <sz val="14"/>
      <color rgb="FFC00000"/>
      <name val="Aptos Narrow"/>
      <family val="2"/>
      <scheme val="minor"/>
    </font>
    <font>
      <sz val="14"/>
      <color theme="4" tint="0.79998168889431442"/>
      <name val="Calibri"/>
      <family val="2"/>
    </font>
    <font>
      <sz val="9"/>
      <color indexed="81"/>
      <name val="Tahoma"/>
      <charset val="1"/>
    </font>
    <font>
      <b/>
      <sz val="9"/>
      <color indexed="81"/>
      <name val="Tahoma"/>
      <charset val="1"/>
    </font>
    <font>
      <b/>
      <i/>
      <sz val="10"/>
      <color rgb="FFFFFFFF"/>
      <name val="Aptos Narrow"/>
      <family val="2"/>
      <scheme val="minor"/>
    </font>
    <font>
      <sz val="11"/>
      <color rgb="FF000000"/>
      <name val="Aptos Narrow"/>
      <family val="2"/>
      <scheme val="minor"/>
    </font>
  </fonts>
  <fills count="20">
    <fill>
      <patternFill patternType="none"/>
    </fill>
    <fill>
      <patternFill patternType="gray125"/>
    </fill>
    <fill>
      <patternFill patternType="solid">
        <fgColor theme="3"/>
        <bgColor indexed="64"/>
      </patternFill>
    </fill>
    <fill>
      <patternFill patternType="solid">
        <fgColor rgb="FFFFFF99"/>
        <bgColor indexed="64"/>
      </patternFill>
    </fill>
    <fill>
      <patternFill patternType="solid">
        <fgColor theme="9"/>
        <bgColor indexed="64"/>
      </patternFill>
    </fill>
    <fill>
      <patternFill patternType="solid">
        <fgColor theme="4"/>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rgb="FFCCEEFF"/>
        <bgColor indexed="64"/>
      </patternFill>
    </fill>
    <fill>
      <patternFill patternType="solid">
        <fgColor rgb="FFFFFFFF"/>
        <bgColor indexed="64"/>
      </patternFill>
    </fill>
    <fill>
      <patternFill patternType="solid">
        <fgColor rgb="FF0E2841"/>
        <bgColor indexed="64"/>
      </patternFill>
    </fill>
    <fill>
      <patternFill patternType="solid">
        <fgColor rgb="FF156082"/>
        <bgColor indexed="64"/>
      </patternFill>
    </fill>
    <fill>
      <patternFill patternType="solid">
        <fgColor rgb="FFD9D9D9"/>
        <bgColor indexed="64"/>
      </patternFill>
    </fill>
    <fill>
      <patternFill patternType="solid">
        <fgColor theme="3" tint="0.89999084444715716"/>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rgb="FFF4E7DE"/>
        <bgColor indexed="64"/>
      </patternFill>
    </fill>
    <fill>
      <patternFill patternType="solid">
        <fgColor theme="2"/>
        <bgColor indexed="64"/>
      </patternFill>
    </fill>
    <fill>
      <patternFill patternType="solid">
        <fgColor rgb="FF243447"/>
        <bgColor indexed="64"/>
      </patternFill>
    </fill>
  </fills>
  <borders count="19">
    <border>
      <left/>
      <right/>
      <top/>
      <bottom/>
      <diagonal/>
    </border>
    <border>
      <left/>
      <right/>
      <top style="medium">
        <color rgb="FF000000"/>
      </top>
      <bottom/>
      <diagonal/>
    </border>
    <border>
      <left/>
      <right/>
      <top style="medium">
        <color rgb="FF000000"/>
      </top>
      <bottom style="double">
        <color rgb="FF000000"/>
      </bottom>
      <diagonal/>
    </border>
    <border>
      <left/>
      <right/>
      <top/>
      <bottom style="medium">
        <color rgb="FF000000"/>
      </bottom>
      <diagonal/>
    </border>
    <border>
      <left/>
      <right/>
      <top style="medium">
        <color rgb="FF000000"/>
      </top>
      <bottom style="medium">
        <color rgb="FF000000"/>
      </bottom>
      <diagonal/>
    </border>
    <border>
      <left/>
      <right/>
      <top style="double">
        <color rgb="FF000000"/>
      </top>
      <bottom/>
      <diagonal/>
    </border>
    <border>
      <left/>
      <right/>
      <top/>
      <bottom style="thin">
        <color auto="1"/>
      </bottom>
      <diagonal/>
    </border>
    <border>
      <left/>
      <right/>
      <top style="thin">
        <color auto="1"/>
      </top>
      <bottom/>
      <diagonal/>
    </border>
    <border>
      <left/>
      <right/>
      <top/>
      <bottom style="double">
        <color auto="1"/>
      </bottom>
      <diagonal/>
    </border>
    <border>
      <left/>
      <right/>
      <top style="thin">
        <color auto="1"/>
      </top>
      <bottom style="double">
        <color auto="1"/>
      </bottom>
      <diagonal/>
    </border>
    <border>
      <left style="dotted">
        <color indexed="64"/>
      </left>
      <right style="dotted">
        <color indexed="64"/>
      </right>
      <top style="dotted">
        <color indexed="64"/>
      </top>
      <bottom style="dott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ck">
        <color rgb="FF000000"/>
      </left>
      <right style="thick">
        <color rgb="FF000000"/>
      </right>
      <top style="thick">
        <color rgb="FF000000"/>
      </top>
      <bottom style="thick">
        <color rgb="FF000000"/>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9" fontId="1" fillId="0" borderId="0" applyFont="0" applyFill="0" applyBorder="0" applyAlignment="0" applyProtection="0"/>
  </cellStyleXfs>
  <cellXfs count="326">
    <xf numFmtId="0" fontId="0" fillId="0" borderId="0" xfId="0"/>
    <xf numFmtId="0" fontId="4" fillId="2" borderId="0" xfId="0" applyFont="1" applyFill="1"/>
    <xf numFmtId="0" fontId="2" fillId="2" borderId="0" xfId="0" applyFont="1" applyFill="1"/>
    <xf numFmtId="0" fontId="5" fillId="0" borderId="0" xfId="0" applyFont="1"/>
    <xf numFmtId="0" fontId="5" fillId="3" borderId="0" xfId="0" applyFont="1" applyFill="1"/>
    <xf numFmtId="10" fontId="5" fillId="3" borderId="0" xfId="0" applyNumberFormat="1" applyFont="1" applyFill="1"/>
    <xf numFmtId="10" fontId="5" fillId="0" borderId="0" xfId="0" applyNumberFormat="1" applyFont="1"/>
    <xf numFmtId="0" fontId="5" fillId="4" borderId="0" xfId="0" applyFont="1" applyFill="1"/>
    <xf numFmtId="1" fontId="5" fillId="0" borderId="0" xfId="0" applyNumberFormat="1" applyFont="1"/>
    <xf numFmtId="0" fontId="6" fillId="3" borderId="0" xfId="0" applyFont="1" applyFill="1"/>
    <xf numFmtId="164" fontId="6" fillId="3" borderId="0" xfId="0" applyNumberFormat="1" applyFont="1" applyFill="1"/>
    <xf numFmtId="9" fontId="7" fillId="0" borderId="0" xfId="1" applyFont="1"/>
    <xf numFmtId="0" fontId="5" fillId="2" borderId="0" xfId="0" applyFont="1" applyFill="1"/>
    <xf numFmtId="0" fontId="4" fillId="5" borderId="0" xfId="0" applyFont="1" applyFill="1"/>
    <xf numFmtId="0" fontId="4" fillId="5" borderId="0" xfId="0" applyFont="1" applyFill="1" applyAlignment="1">
      <alignment horizontal="center"/>
    </xf>
    <xf numFmtId="0" fontId="8" fillId="0" borderId="0" xfId="0" applyFont="1"/>
    <xf numFmtId="0" fontId="8" fillId="0" borderId="0" xfId="0" applyFont="1" applyAlignment="1">
      <alignment horizontal="center"/>
    </xf>
    <xf numFmtId="0" fontId="9" fillId="0" borderId="0" xfId="0" applyFont="1"/>
    <xf numFmtId="0" fontId="10" fillId="0" borderId="0" xfId="0" applyFont="1" applyAlignment="1">
      <alignment horizontal="center"/>
    </xf>
    <xf numFmtId="3" fontId="10" fillId="0" borderId="0" xfId="0" applyNumberFormat="1" applyFont="1" applyAlignment="1">
      <alignment horizontal="center"/>
    </xf>
    <xf numFmtId="3" fontId="8" fillId="0" borderId="0" xfId="0" applyNumberFormat="1" applyFont="1" applyAlignment="1">
      <alignment horizontal="center"/>
    </xf>
    <xf numFmtId="9" fontId="8" fillId="0" borderId="0" xfId="1" applyFont="1" applyFill="1" applyAlignment="1">
      <alignment horizontal="center"/>
    </xf>
    <xf numFmtId="165" fontId="8" fillId="0" borderId="0" xfId="1" applyNumberFormat="1" applyFont="1" applyFill="1" applyAlignment="1">
      <alignment horizontal="center"/>
    </xf>
    <xf numFmtId="165" fontId="11" fillId="0" borderId="0" xfId="1" applyNumberFormat="1" applyFont="1" applyFill="1" applyAlignment="1">
      <alignment horizontal="center"/>
    </xf>
    <xf numFmtId="1" fontId="10" fillId="0" borderId="0" xfId="0" applyNumberFormat="1" applyFont="1" applyAlignment="1">
      <alignment horizontal="center"/>
    </xf>
    <xf numFmtId="1" fontId="8" fillId="0" borderId="0" xfId="0" applyNumberFormat="1" applyFont="1" applyAlignment="1">
      <alignment horizontal="center"/>
    </xf>
    <xf numFmtId="9" fontId="11" fillId="0" borderId="0" xfId="1" applyFont="1" applyFill="1" applyAlignment="1">
      <alignment horizontal="center"/>
    </xf>
    <xf numFmtId="0" fontId="9" fillId="6" borderId="0" xfId="0" applyFont="1" applyFill="1"/>
    <xf numFmtId="0" fontId="10" fillId="6" borderId="0" xfId="0" applyFont="1" applyFill="1" applyAlignment="1">
      <alignment horizontal="center"/>
    </xf>
    <xf numFmtId="3" fontId="8" fillId="6" borderId="0" xfId="0" applyNumberFormat="1" applyFont="1" applyFill="1" applyAlignment="1">
      <alignment horizontal="center"/>
    </xf>
    <xf numFmtId="0" fontId="8" fillId="6" borderId="0" xfId="0" applyFont="1" applyFill="1"/>
    <xf numFmtId="9" fontId="8" fillId="6" borderId="0" xfId="1" applyFont="1" applyFill="1" applyAlignment="1">
      <alignment horizontal="center"/>
    </xf>
    <xf numFmtId="166" fontId="8" fillId="0" borderId="0" xfId="0" applyNumberFormat="1" applyFont="1" applyAlignment="1">
      <alignment horizontal="center"/>
    </xf>
    <xf numFmtId="167" fontId="10" fillId="0" borderId="0" xfId="0" applyNumberFormat="1" applyFont="1" applyAlignment="1">
      <alignment horizontal="center"/>
    </xf>
    <xf numFmtId="167" fontId="8" fillId="0" borderId="0" xfId="0" applyNumberFormat="1" applyFont="1" applyAlignment="1">
      <alignment horizontal="center"/>
    </xf>
    <xf numFmtId="167" fontId="8" fillId="6" borderId="0" xfId="0" applyNumberFormat="1" applyFont="1" applyFill="1" applyAlignment="1">
      <alignment horizontal="center"/>
    </xf>
    <xf numFmtId="166" fontId="9" fillId="6" borderId="0" xfId="0" applyNumberFormat="1" applyFont="1" applyFill="1" applyAlignment="1">
      <alignment horizontal="center"/>
    </xf>
    <xf numFmtId="165" fontId="8" fillId="6" borderId="0" xfId="1" applyNumberFormat="1" applyFont="1" applyFill="1" applyAlignment="1">
      <alignment horizontal="center"/>
    </xf>
    <xf numFmtId="0" fontId="12" fillId="0" borderId="0" xfId="0" applyFont="1"/>
    <xf numFmtId="0" fontId="5" fillId="0" borderId="0" xfId="0" applyFont="1" applyAlignment="1">
      <alignment horizontal="center"/>
    </xf>
    <xf numFmtId="3" fontId="7" fillId="0" borderId="0" xfId="0" applyNumberFormat="1" applyFont="1" applyAlignment="1">
      <alignment horizontal="center"/>
    </xf>
    <xf numFmtId="9" fontId="5" fillId="0" borderId="0" xfId="1" applyFont="1" applyAlignment="1">
      <alignment horizontal="center"/>
    </xf>
    <xf numFmtId="9" fontId="13" fillId="0" borderId="0" xfId="1" applyFont="1" applyAlignment="1">
      <alignment horizontal="center"/>
    </xf>
    <xf numFmtId="0" fontId="14" fillId="0" borderId="0" xfId="0" applyFont="1"/>
    <xf numFmtId="0" fontId="15" fillId="0" borderId="0" xfId="0" applyFont="1" applyAlignment="1">
      <alignment horizontal="center"/>
    </xf>
    <xf numFmtId="1" fontId="5" fillId="0" borderId="0" xfId="0" applyNumberFormat="1" applyFont="1" applyAlignment="1">
      <alignment horizontal="center"/>
    </xf>
    <xf numFmtId="9" fontId="13" fillId="0" borderId="0" xfId="0" applyNumberFormat="1" applyFont="1" applyAlignment="1">
      <alignment horizontal="center"/>
    </xf>
    <xf numFmtId="3" fontId="16" fillId="0" borderId="0" xfId="0" applyNumberFormat="1" applyFont="1" applyAlignment="1">
      <alignment horizontal="center"/>
    </xf>
    <xf numFmtId="9" fontId="16" fillId="0" borderId="0" xfId="1" applyFont="1" applyAlignment="1">
      <alignment horizontal="center"/>
    </xf>
    <xf numFmtId="0" fontId="0" fillId="0" borderId="0" xfId="0" applyAlignment="1">
      <alignment horizontal="center"/>
    </xf>
    <xf numFmtId="1" fontId="16" fillId="0" borderId="0" xfId="0" applyNumberFormat="1" applyFont="1" applyAlignment="1">
      <alignment horizontal="center"/>
    </xf>
    <xf numFmtId="0" fontId="16" fillId="0" borderId="0" xfId="0" applyFont="1" applyAlignment="1">
      <alignment horizontal="center"/>
    </xf>
    <xf numFmtId="167" fontId="16" fillId="0" borderId="0" xfId="0" applyNumberFormat="1" applyFont="1" applyAlignment="1">
      <alignment horizontal="center"/>
    </xf>
    <xf numFmtId="3" fontId="5" fillId="0" borderId="0" xfId="0" applyNumberFormat="1" applyFont="1"/>
    <xf numFmtId="9" fontId="16" fillId="0" borderId="0" xfId="0" applyNumberFormat="1" applyFont="1" applyAlignment="1">
      <alignment horizontal="center"/>
    </xf>
    <xf numFmtId="0" fontId="16" fillId="0" borderId="0" xfId="0" applyFont="1"/>
    <xf numFmtId="0" fontId="14" fillId="7" borderId="0" xfId="0" applyFont="1" applyFill="1"/>
    <xf numFmtId="0" fontId="16" fillId="7" borderId="0" xfId="0" applyFont="1" applyFill="1"/>
    <xf numFmtId="167" fontId="16" fillId="7" borderId="0" xfId="0" applyNumberFormat="1" applyFont="1" applyFill="1"/>
    <xf numFmtId="0" fontId="6" fillId="0" borderId="0" xfId="0" applyFont="1"/>
    <xf numFmtId="168" fontId="6" fillId="0" borderId="0" xfId="0" applyNumberFormat="1" applyFont="1" applyAlignment="1">
      <alignment horizontal="center"/>
    </xf>
    <xf numFmtId="167" fontId="17" fillId="0" borderId="0" xfId="0" applyNumberFormat="1" applyFont="1"/>
    <xf numFmtId="3" fontId="0" fillId="0" borderId="0" xfId="0" applyNumberFormat="1"/>
    <xf numFmtId="0" fontId="20" fillId="0" borderId="0" xfId="0" applyFont="1" applyAlignment="1">
      <alignment vertical="center" wrapText="1"/>
    </xf>
    <xf numFmtId="0" fontId="23" fillId="8" borderId="1" xfId="0" applyFont="1" applyFill="1" applyBorder="1" applyAlignment="1">
      <alignment horizontal="left" wrapText="1"/>
    </xf>
    <xf numFmtId="0" fontId="23" fillId="8" borderId="1" xfId="0" applyFont="1" applyFill="1" applyBorder="1" applyAlignment="1">
      <alignment horizontal="right" wrapText="1"/>
    </xf>
    <xf numFmtId="0" fontId="20" fillId="8" borderId="1" xfId="0" applyFont="1" applyFill="1" applyBorder="1" applyAlignment="1">
      <alignment horizontal="right" wrapText="1"/>
    </xf>
    <xf numFmtId="0" fontId="20" fillId="9" borderId="0" xfId="0" applyFont="1" applyFill="1" applyAlignment="1">
      <alignment horizontal="right" wrapText="1"/>
    </xf>
    <xf numFmtId="0" fontId="23" fillId="8" borderId="0" xfId="0" applyFont="1" applyFill="1" applyAlignment="1">
      <alignment horizontal="right" wrapText="1"/>
    </xf>
    <xf numFmtId="0" fontId="20" fillId="8" borderId="0" xfId="0" applyFont="1" applyFill="1" applyAlignment="1">
      <alignment horizontal="right" wrapText="1"/>
    </xf>
    <xf numFmtId="0" fontId="23" fillId="8" borderId="2" xfId="0" applyFont="1" applyFill="1" applyBorder="1" applyAlignment="1">
      <alignment horizontal="left" wrapText="1"/>
    </xf>
    <xf numFmtId="0" fontId="23" fillId="8" borderId="2" xfId="0" applyFont="1" applyFill="1" applyBorder="1" applyAlignment="1">
      <alignment horizontal="right" wrapText="1"/>
    </xf>
    <xf numFmtId="0" fontId="20" fillId="8" borderId="2" xfId="0" applyFont="1" applyFill="1" applyBorder="1" applyAlignment="1">
      <alignment horizontal="right" wrapText="1"/>
    </xf>
    <xf numFmtId="0" fontId="23" fillId="8" borderId="0" xfId="0" applyFont="1" applyFill="1" applyAlignment="1">
      <alignment horizontal="left" wrapText="1"/>
    </xf>
    <xf numFmtId="0" fontId="23" fillId="9" borderId="1" xfId="0" applyFont="1" applyFill="1" applyBorder="1" applyAlignment="1">
      <alignment horizontal="left" wrapText="1"/>
    </xf>
    <xf numFmtId="0" fontId="23" fillId="9" borderId="1" xfId="0" applyFont="1" applyFill="1" applyBorder="1" applyAlignment="1">
      <alignment horizontal="right" wrapText="1"/>
    </xf>
    <xf numFmtId="0" fontId="20" fillId="9" borderId="1" xfId="0" applyFont="1" applyFill="1" applyBorder="1" applyAlignment="1">
      <alignment horizontal="right" wrapText="1"/>
    </xf>
    <xf numFmtId="3" fontId="23" fillId="8" borderId="2" xfId="0" applyNumberFormat="1" applyFont="1" applyFill="1" applyBorder="1" applyAlignment="1">
      <alignment horizontal="right" wrapText="1"/>
    </xf>
    <xf numFmtId="0" fontId="25" fillId="10" borderId="0" xfId="0" applyFont="1" applyFill="1"/>
    <xf numFmtId="0" fontId="26" fillId="0" borderId="0" xfId="0" applyFont="1"/>
    <xf numFmtId="0" fontId="27" fillId="11" borderId="0" xfId="0" applyFont="1" applyFill="1" applyAlignment="1">
      <alignment horizontal="center"/>
    </xf>
    <xf numFmtId="0" fontId="28" fillId="0" borderId="0" xfId="0" applyFont="1"/>
    <xf numFmtId="0" fontId="3" fillId="0" borderId="0" xfId="0" applyFont="1"/>
    <xf numFmtId="0" fontId="29" fillId="0" borderId="0" xfId="0" applyFont="1"/>
    <xf numFmtId="0" fontId="28" fillId="12" borderId="0" xfId="0" applyFont="1" applyFill="1"/>
    <xf numFmtId="169" fontId="0" fillId="0" borderId="0" xfId="0" applyNumberFormat="1"/>
    <xf numFmtId="165" fontId="0" fillId="0" borderId="0" xfId="0" applyNumberFormat="1"/>
    <xf numFmtId="169" fontId="0" fillId="13" borderId="0" xfId="0" applyNumberFormat="1" applyFill="1"/>
    <xf numFmtId="0" fontId="30" fillId="0" borderId="0" xfId="0" applyFont="1" applyAlignment="1">
      <alignment horizontal="center" vertical="center" wrapText="1"/>
    </xf>
    <xf numFmtId="0" fontId="31" fillId="0" borderId="0" xfId="0" applyFont="1" applyAlignment="1">
      <alignment vertical="center" wrapText="1"/>
    </xf>
    <xf numFmtId="0" fontId="33" fillId="8" borderId="0" xfId="0" applyFont="1" applyFill="1" applyAlignment="1">
      <alignment horizontal="left" wrapText="1"/>
    </xf>
    <xf numFmtId="0" fontId="33" fillId="8" borderId="0" xfId="0" applyFont="1" applyFill="1" applyAlignment="1">
      <alignment horizontal="right" wrapText="1"/>
    </xf>
    <xf numFmtId="0" fontId="31" fillId="8" borderId="0" xfId="0" applyFont="1" applyFill="1" applyAlignment="1">
      <alignment horizontal="right" wrapText="1"/>
    </xf>
    <xf numFmtId="0" fontId="33" fillId="9" borderId="0" xfId="0" applyFont="1" applyFill="1" applyAlignment="1">
      <alignment horizontal="right" wrapText="1"/>
    </xf>
    <xf numFmtId="0" fontId="31" fillId="9" borderId="0" xfId="0" applyFont="1" applyFill="1" applyAlignment="1">
      <alignment horizontal="right" wrapText="1"/>
    </xf>
    <xf numFmtId="0" fontId="33" fillId="8" borderId="1" xfId="0" applyFont="1" applyFill="1" applyBorder="1" applyAlignment="1">
      <alignment horizontal="right" wrapText="1"/>
    </xf>
    <xf numFmtId="0" fontId="31" fillId="8" borderId="1" xfId="0" applyFont="1" applyFill="1" applyBorder="1" applyAlignment="1">
      <alignment horizontal="right" wrapText="1"/>
    </xf>
    <xf numFmtId="0" fontId="33" fillId="9" borderId="1" xfId="0" applyFont="1" applyFill="1" applyBorder="1" applyAlignment="1">
      <alignment horizontal="right" wrapText="1"/>
    </xf>
    <xf numFmtId="0" fontId="31" fillId="9" borderId="1" xfId="0" applyFont="1" applyFill="1" applyBorder="1" applyAlignment="1">
      <alignment horizontal="right" wrapText="1"/>
    </xf>
    <xf numFmtId="0" fontId="33" fillId="8" borderId="1" xfId="0" applyFont="1" applyFill="1" applyBorder="1" applyAlignment="1">
      <alignment horizontal="left" wrapText="1"/>
    </xf>
    <xf numFmtId="0" fontId="33" fillId="9" borderId="5" xfId="0" applyFont="1" applyFill="1" applyBorder="1" applyAlignment="1">
      <alignment horizontal="left" wrapText="1"/>
    </xf>
    <xf numFmtId="0" fontId="33" fillId="9" borderId="5" xfId="0" applyFont="1" applyFill="1" applyBorder="1" applyAlignment="1">
      <alignment horizontal="right" wrapText="1"/>
    </xf>
    <xf numFmtId="0" fontId="31" fillId="9" borderId="5" xfId="0" applyFont="1" applyFill="1" applyBorder="1" applyAlignment="1">
      <alignment horizontal="right" wrapText="1"/>
    </xf>
    <xf numFmtId="3" fontId="33" fillId="9" borderId="1" xfId="0" applyNumberFormat="1" applyFont="1" applyFill="1" applyBorder="1" applyAlignment="1">
      <alignment horizontal="right" wrapText="1"/>
    </xf>
    <xf numFmtId="0" fontId="33" fillId="9" borderId="1" xfId="0" applyFont="1" applyFill="1" applyBorder="1" applyAlignment="1">
      <alignment horizontal="left" wrapText="1"/>
    </xf>
    <xf numFmtId="0" fontId="33" fillId="9" borderId="0" xfId="0" applyFont="1" applyFill="1" applyAlignment="1">
      <alignment horizontal="left" wrapText="1"/>
    </xf>
    <xf numFmtId="0" fontId="33" fillId="8" borderId="5" xfId="0" applyFont="1" applyFill="1" applyBorder="1" applyAlignment="1">
      <alignment horizontal="left" wrapText="1"/>
    </xf>
    <xf numFmtId="0" fontId="33" fillId="8" borderId="5" xfId="0" applyFont="1" applyFill="1" applyBorder="1" applyAlignment="1">
      <alignment horizontal="right" wrapText="1"/>
    </xf>
    <xf numFmtId="0" fontId="31" fillId="8" borderId="5" xfId="0" applyFont="1" applyFill="1" applyBorder="1" applyAlignment="1">
      <alignment horizontal="right" wrapText="1"/>
    </xf>
    <xf numFmtId="0" fontId="34" fillId="0" borderId="0" xfId="0" applyFont="1"/>
    <xf numFmtId="0" fontId="35" fillId="0" borderId="0" xfId="0" applyFont="1"/>
    <xf numFmtId="0" fontId="36" fillId="0" borderId="0" xfId="0" applyFont="1"/>
    <xf numFmtId="170" fontId="37" fillId="0" borderId="0" xfId="0" applyNumberFormat="1" applyFont="1"/>
    <xf numFmtId="170" fontId="3" fillId="0" borderId="0" xfId="0" applyNumberFormat="1" applyFont="1"/>
    <xf numFmtId="170" fontId="38" fillId="0" borderId="0" xfId="0" applyNumberFormat="1" applyFont="1"/>
    <xf numFmtId="171" fontId="35" fillId="0" borderId="0" xfId="0" applyNumberFormat="1" applyFont="1" applyAlignment="1">
      <alignment horizontal="right"/>
    </xf>
    <xf numFmtId="171" fontId="35" fillId="0" borderId="0" xfId="0" applyNumberFormat="1" applyFont="1"/>
    <xf numFmtId="172" fontId="37" fillId="0" borderId="0" xfId="0" applyNumberFormat="1" applyFont="1"/>
    <xf numFmtId="3" fontId="37" fillId="0" borderId="0" xfId="0" applyNumberFormat="1" applyFont="1"/>
    <xf numFmtId="0" fontId="0" fillId="0" borderId="6" xfId="0" applyBorder="1"/>
    <xf numFmtId="0" fontId="3" fillId="0" borderId="6" xfId="0" applyFont="1" applyBorder="1" applyAlignment="1">
      <alignment horizontal="center"/>
    </xf>
    <xf numFmtId="170" fontId="3" fillId="0" borderId="7" xfId="0" applyNumberFormat="1" applyFont="1" applyBorder="1"/>
    <xf numFmtId="170" fontId="3" fillId="0" borderId="8" xfId="0" applyNumberFormat="1" applyFont="1" applyBorder="1"/>
    <xf numFmtId="167" fontId="5" fillId="0" borderId="0" xfId="0" applyNumberFormat="1" applyFont="1" applyAlignment="1">
      <alignment horizontal="center"/>
    </xf>
    <xf numFmtId="0" fontId="3" fillId="0" borderId="0" xfId="0" applyFont="1" applyAlignment="1">
      <alignment horizontal="center"/>
    </xf>
    <xf numFmtId="9" fontId="0" fillId="0" borderId="0" xfId="0" applyNumberFormat="1"/>
    <xf numFmtId="3" fontId="11" fillId="0" borderId="0" xfId="0" applyNumberFormat="1" applyFont="1" applyAlignment="1">
      <alignment horizontal="center"/>
    </xf>
    <xf numFmtId="1" fontId="11" fillId="0" borderId="0" xfId="0" applyNumberFormat="1" applyFont="1" applyAlignment="1">
      <alignment horizontal="center"/>
    </xf>
    <xf numFmtId="9" fontId="10" fillId="0" borderId="0" xfId="1" applyFont="1" applyFill="1" applyAlignment="1">
      <alignment horizontal="center"/>
    </xf>
    <xf numFmtId="165" fontId="11" fillId="0" borderId="0" xfId="0" applyNumberFormat="1" applyFont="1" applyAlignment="1">
      <alignment horizontal="center"/>
    </xf>
    <xf numFmtId="1" fontId="8" fillId="0" borderId="0" xfId="1" applyNumberFormat="1" applyFont="1" applyFill="1" applyAlignment="1">
      <alignment horizontal="center"/>
    </xf>
    <xf numFmtId="1" fontId="10" fillId="0" borderId="0" xfId="1" applyNumberFormat="1" applyFont="1" applyFill="1" applyAlignment="1">
      <alignment horizontal="center"/>
    </xf>
    <xf numFmtId="9" fontId="8" fillId="0" borderId="0" xfId="1" applyFont="1" applyAlignment="1">
      <alignment horizontal="center"/>
    </xf>
    <xf numFmtId="9" fontId="11" fillId="0" borderId="0" xfId="1" applyFont="1" applyAlignment="1">
      <alignment horizontal="center"/>
    </xf>
    <xf numFmtId="0" fontId="21" fillId="0" borderId="0" xfId="0" applyFont="1" applyAlignment="1">
      <alignment horizontal="center" vertical="center" wrapText="1"/>
    </xf>
    <xf numFmtId="0" fontId="42" fillId="8" borderId="0" xfId="0" applyFont="1" applyFill="1" applyAlignment="1">
      <alignment horizontal="left" wrapText="1"/>
    </xf>
    <xf numFmtId="0" fontId="42" fillId="8" borderId="0" xfId="0" applyFont="1" applyFill="1" applyAlignment="1">
      <alignment horizontal="right" wrapText="1"/>
    </xf>
    <xf numFmtId="3" fontId="42" fillId="8" borderId="0" xfId="0" applyNumberFormat="1" applyFont="1" applyFill="1" applyAlignment="1">
      <alignment horizontal="right" wrapText="1"/>
    </xf>
    <xf numFmtId="0" fontId="42" fillId="9" borderId="0" xfId="0" applyFont="1" applyFill="1" applyAlignment="1">
      <alignment horizontal="right" wrapText="1"/>
    </xf>
    <xf numFmtId="0" fontId="42" fillId="9" borderId="1" xfId="0" applyFont="1" applyFill="1" applyBorder="1" applyAlignment="1">
      <alignment horizontal="right" wrapText="1"/>
    </xf>
    <xf numFmtId="0" fontId="42" fillId="8" borderId="1" xfId="0" applyFont="1" applyFill="1" applyBorder="1" applyAlignment="1">
      <alignment horizontal="right" wrapText="1"/>
    </xf>
    <xf numFmtId="0" fontId="42" fillId="9" borderId="0" xfId="0" applyFont="1" applyFill="1" applyAlignment="1">
      <alignment horizontal="left" wrapText="1"/>
    </xf>
    <xf numFmtId="0" fontId="42" fillId="9" borderId="1" xfId="0" applyFont="1" applyFill="1" applyBorder="1" applyAlignment="1">
      <alignment horizontal="left" wrapText="1"/>
    </xf>
    <xf numFmtId="0" fontId="42" fillId="8" borderId="1" xfId="0" applyFont="1" applyFill="1" applyBorder="1" applyAlignment="1">
      <alignment horizontal="left" wrapText="1"/>
    </xf>
    <xf numFmtId="0" fontId="43" fillId="0" borderId="0" xfId="0" applyFont="1"/>
    <xf numFmtId="0" fontId="44" fillId="0" borderId="0" xfId="0" applyFont="1"/>
    <xf numFmtId="49" fontId="3" fillId="0" borderId="6" xfId="0" applyNumberFormat="1" applyFont="1" applyBorder="1" applyAlignment="1">
      <alignment horizontal="center"/>
    </xf>
    <xf numFmtId="170" fontId="3" fillId="0" borderId="9" xfId="0" applyNumberFormat="1" applyFont="1" applyBorder="1"/>
    <xf numFmtId="0" fontId="27" fillId="11" borderId="0" xfId="0" applyFont="1" applyFill="1"/>
    <xf numFmtId="0" fontId="0" fillId="11" borderId="0" xfId="0" applyFill="1"/>
    <xf numFmtId="170" fontId="0" fillId="0" borderId="0" xfId="0" applyNumberFormat="1"/>
    <xf numFmtId="165" fontId="3" fillId="14" borderId="0" xfId="0" applyNumberFormat="1" applyFont="1" applyFill="1"/>
    <xf numFmtId="0" fontId="45" fillId="0" borderId="6" xfId="0" applyFont="1" applyBorder="1"/>
    <xf numFmtId="0" fontId="0" fillId="2" borderId="0" xfId="0" applyFill="1"/>
    <xf numFmtId="165" fontId="0" fillId="0" borderId="0" xfId="0" applyNumberFormat="1" applyAlignment="1">
      <alignment horizontal="right"/>
    </xf>
    <xf numFmtId="165" fontId="0" fillId="15" borderId="10" xfId="0" applyNumberFormat="1" applyFill="1" applyBorder="1" applyAlignment="1">
      <alignment horizontal="right"/>
    </xf>
    <xf numFmtId="9" fontId="0" fillId="0" borderId="0" xfId="1" applyFont="1"/>
    <xf numFmtId="9" fontId="0" fillId="15" borderId="10" xfId="1" applyFont="1" applyFill="1" applyBorder="1" applyAlignment="1">
      <alignment horizontal="right"/>
    </xf>
    <xf numFmtId="0" fontId="0" fillId="15" borderId="10" xfId="0" applyFill="1" applyBorder="1" applyAlignment="1">
      <alignment horizontal="right"/>
    </xf>
    <xf numFmtId="0" fontId="3" fillId="16" borderId="11" xfId="0" applyFont="1" applyFill="1" applyBorder="1"/>
    <xf numFmtId="0" fontId="0" fillId="16" borderId="12" xfId="0" applyFill="1" applyBorder="1"/>
    <xf numFmtId="10" fontId="3" fillId="16" borderId="13" xfId="0" applyNumberFormat="1" applyFont="1" applyFill="1" applyBorder="1"/>
    <xf numFmtId="173" fontId="5" fillId="0" borderId="0" xfId="1" applyNumberFormat="1" applyFont="1" applyAlignment="1">
      <alignment horizontal="center"/>
    </xf>
    <xf numFmtId="1" fontId="5" fillId="0" borderId="0" xfId="1" applyNumberFormat="1" applyFont="1" applyAlignment="1">
      <alignment horizontal="center"/>
    </xf>
    <xf numFmtId="3" fontId="15" fillId="17" borderId="0" xfId="0" applyNumberFormat="1" applyFont="1" applyFill="1" applyAlignment="1">
      <alignment horizontal="center"/>
    </xf>
    <xf numFmtId="3" fontId="5" fillId="17" borderId="0" xfId="0" applyNumberFormat="1" applyFont="1" applyFill="1" applyAlignment="1">
      <alignment horizontal="center"/>
    </xf>
    <xf numFmtId="9" fontId="5" fillId="17" borderId="0" xfId="1" applyFont="1" applyFill="1" applyAlignment="1">
      <alignment horizontal="center"/>
    </xf>
    <xf numFmtId="10" fontId="13" fillId="17" borderId="0" xfId="0" applyNumberFormat="1" applyFont="1" applyFill="1" applyAlignment="1">
      <alignment horizontal="center"/>
    </xf>
    <xf numFmtId="0" fontId="5" fillId="17" borderId="0" xfId="0" applyFont="1" applyFill="1" applyAlignment="1">
      <alignment horizontal="center"/>
    </xf>
    <xf numFmtId="167" fontId="15" fillId="17" borderId="0" xfId="0" applyNumberFormat="1" applyFont="1" applyFill="1" applyAlignment="1">
      <alignment horizontal="center"/>
    </xf>
    <xf numFmtId="167" fontId="5" fillId="17" borderId="0" xfId="0" applyNumberFormat="1" applyFont="1" applyFill="1" applyAlignment="1">
      <alignment horizontal="center"/>
    </xf>
    <xf numFmtId="9" fontId="13" fillId="17" borderId="0" xfId="0" applyNumberFormat="1" applyFont="1" applyFill="1" applyAlignment="1">
      <alignment horizontal="center"/>
    </xf>
    <xf numFmtId="0" fontId="16" fillId="18" borderId="0" xfId="0" applyFont="1" applyFill="1"/>
    <xf numFmtId="0" fontId="0" fillId="18" borderId="0" xfId="0" applyFill="1"/>
    <xf numFmtId="0" fontId="5" fillId="18" borderId="0" xfId="0" applyFont="1" applyFill="1"/>
    <xf numFmtId="9" fontId="5" fillId="18" borderId="0" xfId="1" applyFont="1" applyFill="1"/>
    <xf numFmtId="10" fontId="16" fillId="18" borderId="0" xfId="1" applyNumberFormat="1" applyFont="1" applyFill="1"/>
    <xf numFmtId="3" fontId="16" fillId="18" borderId="0" xfId="0" applyNumberFormat="1" applyFont="1" applyFill="1"/>
    <xf numFmtId="3" fontId="5" fillId="18" borderId="0" xfId="0" applyNumberFormat="1" applyFont="1" applyFill="1"/>
    <xf numFmtId="3" fontId="0" fillId="18" borderId="0" xfId="0" applyNumberFormat="1" applyFill="1"/>
    <xf numFmtId="0" fontId="14" fillId="18" borderId="0" xfId="0" applyFont="1" applyFill="1"/>
    <xf numFmtId="3" fontId="6" fillId="18" borderId="0" xfId="0" applyNumberFormat="1" applyFont="1" applyFill="1"/>
    <xf numFmtId="0" fontId="16" fillId="17" borderId="0" xfId="0" applyFont="1" applyFill="1" applyAlignment="1">
      <alignment horizontal="center"/>
    </xf>
    <xf numFmtId="1" fontId="16" fillId="17" borderId="0" xfId="0" applyNumberFormat="1" applyFont="1" applyFill="1" applyAlignment="1">
      <alignment horizontal="center"/>
    </xf>
    <xf numFmtId="9" fontId="16" fillId="17" borderId="0" xfId="1" applyFont="1" applyFill="1" applyAlignment="1">
      <alignment horizontal="center"/>
    </xf>
    <xf numFmtId="0" fontId="0" fillId="17" borderId="0" xfId="0" applyFill="1" applyAlignment="1">
      <alignment horizontal="center"/>
    </xf>
    <xf numFmtId="0" fontId="0" fillId="17" borderId="0" xfId="0" applyFill="1"/>
    <xf numFmtId="167" fontId="16" fillId="17" borderId="0" xfId="0" applyNumberFormat="1" applyFont="1" applyFill="1" applyAlignment="1">
      <alignment horizontal="center"/>
    </xf>
    <xf numFmtId="9" fontId="16" fillId="17" borderId="0" xfId="0" applyNumberFormat="1" applyFont="1" applyFill="1" applyAlignment="1">
      <alignment horizontal="center"/>
    </xf>
    <xf numFmtId="0" fontId="48" fillId="0" borderId="0" xfId="0" applyFont="1" applyAlignment="1">
      <alignment horizontal="center"/>
    </xf>
    <xf numFmtId="9" fontId="39" fillId="0" borderId="0" xfId="1" applyFont="1" applyAlignment="1">
      <alignment horizontal="center"/>
    </xf>
    <xf numFmtId="1" fontId="10" fillId="6" borderId="0" xfId="0" applyNumberFormat="1" applyFont="1" applyFill="1" applyAlignment="1">
      <alignment horizontal="center"/>
    </xf>
    <xf numFmtId="1" fontId="14" fillId="0" borderId="0" xfId="0" applyNumberFormat="1" applyFont="1" applyAlignment="1">
      <alignment horizontal="left"/>
    </xf>
    <xf numFmtId="1" fontId="46" fillId="0" borderId="0" xfId="0" applyNumberFormat="1" applyFont="1" applyAlignment="1">
      <alignment horizontal="center"/>
    </xf>
    <xf numFmtId="10" fontId="0" fillId="0" borderId="0" xfId="1" applyNumberFormat="1" applyFont="1"/>
    <xf numFmtId="10" fontId="37" fillId="0" borderId="0" xfId="0" applyNumberFormat="1" applyFont="1"/>
    <xf numFmtId="10" fontId="38" fillId="0" borderId="0" xfId="0" applyNumberFormat="1" applyFont="1"/>
    <xf numFmtId="174" fontId="0" fillId="0" borderId="0" xfId="0" applyNumberFormat="1"/>
    <xf numFmtId="174" fontId="0" fillId="0" borderId="13" xfId="0" applyNumberFormat="1" applyBorder="1" applyAlignment="1">
      <alignment horizontal="center"/>
    </xf>
    <xf numFmtId="174" fontId="0" fillId="0" borderId="14" xfId="0" applyNumberFormat="1" applyBorder="1" applyAlignment="1">
      <alignment horizontal="center"/>
    </xf>
    <xf numFmtId="174" fontId="0" fillId="0" borderId="15" xfId="0" applyNumberFormat="1" applyBorder="1" applyAlignment="1">
      <alignment horizontal="center"/>
    </xf>
    <xf numFmtId="174" fontId="38" fillId="0" borderId="0" xfId="0" applyNumberFormat="1" applyFont="1"/>
    <xf numFmtId="165" fontId="27" fillId="19" borderId="14" xfId="0" applyNumberFormat="1" applyFont="1" applyFill="1" applyBorder="1" applyAlignment="1">
      <alignment horizontal="center"/>
    </xf>
    <xf numFmtId="174" fontId="0" fillId="0" borderId="11" xfId="0" applyNumberFormat="1" applyBorder="1" applyAlignment="1">
      <alignment horizontal="center"/>
    </xf>
    <xf numFmtId="174" fontId="0" fillId="0" borderId="16" xfId="0" applyNumberFormat="1" applyBorder="1" applyAlignment="1">
      <alignment horizontal="center"/>
    </xf>
    <xf numFmtId="174" fontId="3" fillId="0" borderId="17" xfId="0" applyNumberFormat="1" applyFont="1" applyBorder="1" applyAlignment="1">
      <alignment horizontal="center"/>
    </xf>
    <xf numFmtId="10" fontId="0" fillId="0" borderId="0" xfId="0" applyNumberFormat="1"/>
    <xf numFmtId="0" fontId="23" fillId="8" borderId="0" xfId="0" applyFont="1" applyFill="1" applyAlignment="1">
      <alignment horizontal="left" vertical="center" wrapText="1"/>
    </xf>
    <xf numFmtId="0" fontId="20" fillId="8" borderId="0" xfId="0" applyFont="1" applyFill="1" applyAlignment="1">
      <alignment vertical="center" wrapText="1"/>
    </xf>
    <xf numFmtId="0" fontId="23" fillId="9" borderId="0" xfId="0" applyFont="1" applyFill="1" applyAlignment="1">
      <alignment horizontal="left" vertical="top" wrapText="1"/>
    </xf>
    <xf numFmtId="3" fontId="23" fillId="9" borderId="3" xfId="0" applyNumberFormat="1" applyFont="1" applyFill="1" applyBorder="1" applyAlignment="1">
      <alignment horizontal="right" wrapText="1"/>
    </xf>
    <xf numFmtId="0" fontId="20" fillId="9" borderId="0" xfId="0" applyFont="1" applyFill="1" applyAlignment="1">
      <alignment vertical="center" wrapText="1"/>
    </xf>
    <xf numFmtId="0" fontId="23" fillId="8" borderId="0" xfId="0" applyFont="1" applyFill="1" applyAlignment="1">
      <alignment horizontal="left" vertical="top" wrapText="1" indent="6"/>
    </xf>
    <xf numFmtId="0" fontId="23" fillId="8" borderId="1" xfId="0" applyFont="1" applyFill="1" applyBorder="1" applyAlignment="1">
      <alignment horizontal="right" wrapText="1"/>
    </xf>
    <xf numFmtId="3" fontId="23" fillId="8" borderId="1" xfId="0" applyNumberFormat="1" applyFont="1" applyFill="1" applyBorder="1" applyAlignment="1">
      <alignment horizontal="right" wrapText="1"/>
    </xf>
    <xf numFmtId="0" fontId="23" fillId="9" borderId="0" xfId="0" applyFont="1" applyFill="1" applyAlignment="1">
      <alignment horizontal="left" vertical="top" wrapText="1" indent="3"/>
    </xf>
    <xf numFmtId="0" fontId="23" fillId="9" borderId="0" xfId="0" applyFont="1" applyFill="1" applyAlignment="1">
      <alignment horizontal="right" wrapText="1"/>
    </xf>
    <xf numFmtId="0" fontId="23" fillId="8" borderId="0" xfId="0" applyFont="1" applyFill="1" applyAlignment="1">
      <alignment horizontal="left" vertical="top" wrapText="1" indent="3"/>
    </xf>
    <xf numFmtId="0" fontId="23" fillId="8" borderId="0" xfId="0" applyFont="1" applyFill="1" applyAlignment="1">
      <alignment horizontal="right" wrapText="1"/>
    </xf>
    <xf numFmtId="0" fontId="20" fillId="8" borderId="5" xfId="0" applyFont="1" applyFill="1" applyBorder="1" applyAlignment="1">
      <alignment vertical="center" wrapText="1"/>
    </xf>
    <xf numFmtId="0" fontId="21" fillId="9" borderId="0" xfId="0" applyFont="1" applyFill="1" applyAlignment="1">
      <alignment horizontal="left" vertical="top" wrapText="1"/>
    </xf>
    <xf numFmtId="0" fontId="23" fillId="9" borderId="0" xfId="0" applyFont="1" applyFill="1" applyAlignment="1">
      <alignment horizontal="left" vertical="top" wrapText="1" indent="6"/>
    </xf>
    <xf numFmtId="0" fontId="23" fillId="8" borderId="3" xfId="0" applyFont="1" applyFill="1" applyBorder="1" applyAlignment="1">
      <alignment horizontal="right" wrapText="1"/>
    </xf>
    <xf numFmtId="0" fontId="21" fillId="0" borderId="1" xfId="0" applyFont="1" applyBorder="1" applyAlignment="1">
      <alignment horizontal="left" vertical="top" wrapText="1"/>
    </xf>
    <xf numFmtId="0" fontId="20" fillId="0" borderId="1" xfId="0" applyFont="1" applyBorder="1" applyAlignment="1">
      <alignment vertical="center" wrapText="1"/>
    </xf>
    <xf numFmtId="0" fontId="20" fillId="0" borderId="0" xfId="0" applyFont="1" applyAlignment="1">
      <alignment vertical="center" wrapText="1"/>
    </xf>
    <xf numFmtId="0" fontId="22" fillId="0" borderId="3" xfId="0" applyFont="1" applyBorder="1" applyAlignment="1">
      <alignment horizontal="left" wrapText="1"/>
    </xf>
    <xf numFmtId="0" fontId="21" fillId="0" borderId="4" xfId="0" applyFont="1" applyBorder="1" applyAlignment="1">
      <alignment horizontal="center" wrapText="1"/>
    </xf>
    <xf numFmtId="0" fontId="23" fillId="9" borderId="0" xfId="0" applyFont="1" applyFill="1" applyAlignment="1">
      <alignment horizontal="left" wrapText="1" indent="2"/>
    </xf>
    <xf numFmtId="0" fontId="23" fillId="8" borderId="0" xfId="0" applyFont="1" applyFill="1" applyAlignment="1">
      <alignment horizontal="left" vertical="center" wrapText="1" indent="2"/>
    </xf>
    <xf numFmtId="3" fontId="23" fillId="8" borderId="0" xfId="0" applyNumberFormat="1" applyFont="1" applyFill="1" applyAlignment="1">
      <alignment horizontal="right" wrapText="1"/>
    </xf>
    <xf numFmtId="0" fontId="23" fillId="9" borderId="0" xfId="0" applyFont="1" applyFill="1" applyAlignment="1">
      <alignment horizontal="left" vertical="center" wrapText="1" indent="2"/>
    </xf>
    <xf numFmtId="0" fontId="22" fillId="8" borderId="0" xfId="0" applyFont="1" applyFill="1" applyAlignment="1">
      <alignment horizontal="left" vertical="center" wrapText="1"/>
    </xf>
    <xf numFmtId="0" fontId="23" fillId="9" borderId="0" xfId="0" applyFont="1" applyFill="1" applyAlignment="1">
      <alignment horizontal="left" vertical="center" wrapText="1"/>
    </xf>
    <xf numFmtId="0" fontId="23" fillId="9" borderId="3" xfId="0" applyFont="1" applyFill="1" applyBorder="1" applyAlignment="1">
      <alignment horizontal="right" wrapText="1"/>
    </xf>
    <xf numFmtId="0" fontId="23" fillId="8" borderId="0" xfId="0" applyFont="1" applyFill="1" applyAlignment="1">
      <alignment horizontal="left" wrapText="1" indent="2"/>
    </xf>
    <xf numFmtId="0" fontId="23" fillId="9" borderId="0" xfId="0" applyFont="1" applyFill="1" applyAlignment="1">
      <alignment horizontal="left" wrapText="1"/>
    </xf>
    <xf numFmtId="0" fontId="21" fillId="0" borderId="4" xfId="0" applyFont="1" applyBorder="1" applyAlignment="1">
      <alignment horizontal="center" vertical="center" wrapText="1"/>
    </xf>
    <xf numFmtId="0" fontId="23" fillId="8" borderId="1" xfId="0" applyFont="1" applyFill="1" applyBorder="1" applyAlignment="1">
      <alignment horizontal="left" wrapText="1"/>
    </xf>
    <xf numFmtId="0" fontId="20" fillId="8" borderId="1" xfId="0" applyFont="1" applyFill="1" applyBorder="1" applyAlignment="1">
      <alignment vertical="center" wrapText="1"/>
    </xf>
    <xf numFmtId="0" fontId="20" fillId="0" borderId="3" xfId="0" applyFont="1" applyBorder="1" applyAlignment="1">
      <alignment vertical="center" wrapText="1"/>
    </xf>
    <xf numFmtId="0" fontId="23" fillId="8" borderId="1" xfId="0" applyFont="1" applyFill="1" applyBorder="1" applyAlignment="1">
      <alignment horizontal="left" vertical="center" wrapText="1"/>
    </xf>
    <xf numFmtId="0" fontId="21" fillId="0" borderId="3" xfId="0" applyFont="1" applyBorder="1" applyAlignment="1">
      <alignment horizontal="center" wrapText="1"/>
    </xf>
    <xf numFmtId="3" fontId="23" fillId="9" borderId="0" xfId="0" applyNumberFormat="1" applyFont="1" applyFill="1" applyAlignment="1">
      <alignment horizontal="right" wrapText="1"/>
    </xf>
    <xf numFmtId="0" fontId="33" fillId="0" borderId="1" xfId="0" applyFont="1" applyBorder="1" applyAlignment="1">
      <alignment horizontal="left" vertical="top" wrapText="1"/>
    </xf>
    <xf numFmtId="0" fontId="31" fillId="0" borderId="1" xfId="0" applyFont="1" applyBorder="1" applyAlignment="1">
      <alignment vertical="center" wrapText="1"/>
    </xf>
    <xf numFmtId="0" fontId="31" fillId="0" borderId="0" xfId="0" applyFont="1" applyAlignment="1">
      <alignment vertical="center" wrapText="1"/>
    </xf>
    <xf numFmtId="0" fontId="30" fillId="0" borderId="3" xfId="0" applyFont="1" applyBorder="1" applyAlignment="1">
      <alignment horizontal="center" wrapText="1"/>
    </xf>
    <xf numFmtId="0" fontId="32" fillId="0" borderId="3" xfId="0" applyFont="1" applyBorder="1" applyAlignment="1">
      <alignment horizontal="left" wrapText="1"/>
    </xf>
    <xf numFmtId="0" fontId="30" fillId="0" borderId="4" xfId="0" applyFont="1" applyBorder="1" applyAlignment="1">
      <alignment horizontal="center" wrapText="1"/>
    </xf>
    <xf numFmtId="0" fontId="33" fillId="9" borderId="3" xfId="0" applyFont="1" applyFill="1" applyBorder="1" applyAlignment="1">
      <alignment horizontal="right" wrapText="1"/>
    </xf>
    <xf numFmtId="0" fontId="33" fillId="8" borderId="0" xfId="0" applyFont="1" applyFill="1" applyAlignment="1">
      <alignment horizontal="left" vertical="top" wrapText="1" indent="5"/>
    </xf>
    <xf numFmtId="0" fontId="33" fillId="8" borderId="4" xfId="0" applyFont="1" applyFill="1" applyBorder="1" applyAlignment="1">
      <alignment horizontal="right" wrapText="1"/>
    </xf>
    <xf numFmtId="0" fontId="31" fillId="8" borderId="0" xfId="0" applyFont="1" applyFill="1" applyAlignment="1">
      <alignment vertical="center" wrapText="1"/>
    </xf>
    <xf numFmtId="0" fontId="33" fillId="8" borderId="0" xfId="0" applyFont="1" applyFill="1" applyAlignment="1">
      <alignment horizontal="left" vertical="top" wrapText="1" indent="2"/>
    </xf>
    <xf numFmtId="0" fontId="33" fillId="9" borderId="0" xfId="0" applyFont="1" applyFill="1" applyAlignment="1">
      <alignment horizontal="left" vertical="top" wrapText="1" indent="2"/>
    </xf>
    <xf numFmtId="0" fontId="31" fillId="9" borderId="0" xfId="0" applyFont="1" applyFill="1" applyAlignment="1">
      <alignment vertical="center" wrapText="1"/>
    </xf>
    <xf numFmtId="0" fontId="33" fillId="8" borderId="0" xfId="0" applyFont="1" applyFill="1" applyAlignment="1">
      <alignment horizontal="right" wrapText="1"/>
    </xf>
    <xf numFmtId="0" fontId="33" fillId="9" borderId="0" xfId="0" applyFont="1" applyFill="1" applyAlignment="1">
      <alignment horizontal="left" vertical="top" wrapText="1"/>
    </xf>
    <xf numFmtId="0" fontId="31" fillId="9" borderId="1" xfId="0" applyFont="1" applyFill="1" applyBorder="1" applyAlignment="1">
      <alignment vertical="center" wrapText="1"/>
    </xf>
    <xf numFmtId="0" fontId="33" fillId="9" borderId="1" xfId="0" applyFont="1" applyFill="1" applyBorder="1" applyAlignment="1">
      <alignment horizontal="right" wrapText="1"/>
    </xf>
    <xf numFmtId="0" fontId="33" fillId="8" borderId="0" xfId="0" applyFont="1" applyFill="1" applyAlignment="1">
      <alignment horizontal="left" vertical="top" wrapText="1" indent="3"/>
    </xf>
    <xf numFmtId="0" fontId="33" fillId="9" borderId="0" xfId="0" applyFont="1" applyFill="1" applyAlignment="1">
      <alignment horizontal="left" vertical="top" wrapText="1" indent="3"/>
    </xf>
    <xf numFmtId="0" fontId="33" fillId="9" borderId="0" xfId="0" applyFont="1" applyFill="1" applyAlignment="1">
      <alignment horizontal="right" wrapText="1"/>
    </xf>
    <xf numFmtId="0" fontId="33" fillId="8" borderId="0" xfId="0" applyFont="1" applyFill="1" applyAlignment="1">
      <alignment horizontal="left" vertical="center" wrapText="1" indent="3"/>
    </xf>
    <xf numFmtId="0" fontId="31" fillId="8" borderId="1" xfId="0" applyFont="1" applyFill="1" applyBorder="1" applyAlignment="1">
      <alignment vertical="center" wrapText="1"/>
    </xf>
    <xf numFmtId="0" fontId="33" fillId="9" borderId="0" xfId="0" applyFont="1" applyFill="1" applyAlignment="1">
      <alignment horizontal="left" vertical="top" wrapText="1" indent="6"/>
    </xf>
    <xf numFmtId="0" fontId="33" fillId="9" borderId="4" xfId="0" applyFont="1" applyFill="1" applyBorder="1" applyAlignment="1">
      <alignment horizontal="right" wrapText="1"/>
    </xf>
    <xf numFmtId="0" fontId="33" fillId="8" borderId="0" xfId="0" applyFont="1" applyFill="1" applyAlignment="1">
      <alignment horizontal="left" vertical="top" wrapText="1"/>
    </xf>
    <xf numFmtId="0" fontId="33" fillId="9" borderId="0" xfId="0" applyFont="1" applyFill="1" applyAlignment="1">
      <alignment horizontal="left" vertical="center" wrapText="1"/>
    </xf>
    <xf numFmtId="3" fontId="33" fillId="8" borderId="0" xfId="0" applyNumberFormat="1" applyFont="1" applyFill="1" applyAlignment="1">
      <alignment horizontal="right" wrapText="1"/>
    </xf>
    <xf numFmtId="0" fontId="33" fillId="8" borderId="0" xfId="0" applyFont="1" applyFill="1" applyAlignment="1">
      <alignment horizontal="left" vertical="top" wrapText="1" indent="6"/>
    </xf>
    <xf numFmtId="3" fontId="33" fillId="8" borderId="4" xfId="0" applyNumberFormat="1" applyFont="1" applyFill="1" applyBorder="1" applyAlignment="1">
      <alignment horizontal="right" wrapText="1"/>
    </xf>
    <xf numFmtId="3" fontId="33" fillId="9" borderId="3" xfId="0" applyNumberFormat="1" applyFont="1" applyFill="1" applyBorder="1" applyAlignment="1">
      <alignment horizontal="right" wrapText="1"/>
    </xf>
    <xf numFmtId="0" fontId="33" fillId="8" borderId="0" xfId="0" applyFont="1" applyFill="1" applyAlignment="1">
      <alignment horizontal="left" vertical="center" wrapText="1"/>
    </xf>
    <xf numFmtId="0" fontId="33" fillId="8" borderId="1" xfId="0" applyFont="1" applyFill="1" applyBorder="1" applyAlignment="1">
      <alignment horizontal="right" wrapText="1"/>
    </xf>
    <xf numFmtId="0" fontId="31" fillId="9" borderId="5" xfId="0" applyFont="1" applyFill="1" applyBorder="1" applyAlignment="1">
      <alignment vertical="center" wrapText="1"/>
    </xf>
    <xf numFmtId="0" fontId="31" fillId="8" borderId="5" xfId="0" applyFont="1" applyFill="1" applyBorder="1" applyAlignment="1">
      <alignment vertical="center" wrapText="1"/>
    </xf>
    <xf numFmtId="3" fontId="33" fillId="9" borderId="0" xfId="0" applyNumberFormat="1" applyFont="1" applyFill="1" applyAlignment="1">
      <alignment horizontal="right" wrapText="1"/>
    </xf>
    <xf numFmtId="3" fontId="33" fillId="9" borderId="4" xfId="0" applyNumberFormat="1" applyFont="1" applyFill="1" applyBorder="1" applyAlignment="1">
      <alignment horizontal="right" wrapText="1"/>
    </xf>
    <xf numFmtId="3" fontId="33" fillId="8" borderId="3" xfId="0" applyNumberFormat="1" applyFont="1" applyFill="1" applyBorder="1" applyAlignment="1">
      <alignment horizontal="right" wrapText="1"/>
    </xf>
    <xf numFmtId="0" fontId="33" fillId="8" borderId="3" xfId="0" applyFont="1" applyFill="1" applyBorder="1" applyAlignment="1">
      <alignment horizontal="right" wrapText="1"/>
    </xf>
    <xf numFmtId="3" fontId="33" fillId="9" borderId="1" xfId="0" applyNumberFormat="1" applyFont="1" applyFill="1" applyBorder="1" applyAlignment="1">
      <alignment horizontal="right" wrapText="1"/>
    </xf>
    <xf numFmtId="0" fontId="42" fillId="0" borderId="1" xfId="0" applyFont="1" applyBorder="1" applyAlignment="1">
      <alignment horizontal="left" vertical="top" wrapText="1"/>
    </xf>
    <xf numFmtId="0" fontId="40" fillId="0" borderId="3" xfId="0" applyFont="1" applyBorder="1" applyAlignment="1">
      <alignment horizontal="center" wrapText="1"/>
    </xf>
    <xf numFmtId="0" fontId="41" fillId="0" borderId="3" xfId="0" applyFont="1" applyBorder="1" applyAlignment="1">
      <alignment horizontal="left" wrapText="1"/>
    </xf>
    <xf numFmtId="0" fontId="40" fillId="0" borderId="4" xfId="0" applyFont="1" applyBorder="1" applyAlignment="1">
      <alignment horizontal="center" wrapText="1"/>
    </xf>
    <xf numFmtId="0" fontId="42" fillId="8" borderId="0" xfId="0" applyFont="1" applyFill="1" applyAlignment="1">
      <alignment horizontal="left" vertical="top" wrapText="1" indent="4"/>
    </xf>
    <xf numFmtId="0" fontId="42" fillId="8" borderId="0" xfId="0" applyFont="1" applyFill="1" applyAlignment="1">
      <alignment horizontal="right" wrapText="1"/>
    </xf>
    <xf numFmtId="0" fontId="42" fillId="8" borderId="0" xfId="0" applyFont="1" applyFill="1" applyAlignment="1">
      <alignment horizontal="left" vertical="center" wrapText="1" indent="2"/>
    </xf>
    <xf numFmtId="0" fontId="42" fillId="9" borderId="0" xfId="0" applyFont="1" applyFill="1" applyAlignment="1">
      <alignment horizontal="left" vertical="top" wrapText="1" indent="2"/>
    </xf>
    <xf numFmtId="0" fontId="42" fillId="9" borderId="0" xfId="0" applyFont="1" applyFill="1" applyAlignment="1">
      <alignment horizontal="left" vertical="top" wrapText="1" indent="4"/>
    </xf>
    <xf numFmtId="0" fontId="42" fillId="9" borderId="0" xfId="0" applyFont="1" applyFill="1" applyAlignment="1">
      <alignment horizontal="right" wrapText="1"/>
    </xf>
    <xf numFmtId="3" fontId="42" fillId="8" borderId="0" xfId="0" applyNumberFormat="1" applyFont="1" applyFill="1" applyAlignment="1">
      <alignment horizontal="right" wrapText="1"/>
    </xf>
    <xf numFmtId="0" fontId="42" fillId="8" borderId="0" xfId="0" applyFont="1" applyFill="1" applyAlignment="1">
      <alignment horizontal="left" vertical="top" wrapText="1"/>
    </xf>
    <xf numFmtId="0" fontId="42" fillId="8" borderId="0" xfId="0" applyFont="1" applyFill="1" applyAlignment="1">
      <alignment horizontal="left" vertical="top" wrapText="1" indent="3"/>
    </xf>
    <xf numFmtId="0" fontId="42" fillId="9" borderId="0" xfId="0" applyFont="1" applyFill="1" applyAlignment="1">
      <alignment horizontal="left" vertical="top" wrapText="1" indent="3"/>
    </xf>
    <xf numFmtId="3" fontId="42" fillId="9" borderId="0" xfId="0" applyNumberFormat="1" applyFont="1" applyFill="1" applyAlignment="1">
      <alignment horizontal="right" wrapText="1"/>
    </xf>
    <xf numFmtId="0" fontId="42" fillId="8" borderId="3" xfId="0" applyFont="1" applyFill="1" applyBorder="1" applyAlignment="1">
      <alignment horizontal="right" wrapText="1"/>
    </xf>
    <xf numFmtId="3" fontId="42" fillId="8" borderId="3" xfId="0" applyNumberFormat="1" applyFont="1" applyFill="1" applyBorder="1" applyAlignment="1">
      <alignment horizontal="right" wrapText="1"/>
    </xf>
    <xf numFmtId="0" fontId="42" fillId="9" borderId="0" xfId="0" applyFont="1" applyFill="1" applyAlignment="1">
      <alignment horizontal="left" vertical="top" wrapText="1" indent="6"/>
    </xf>
    <xf numFmtId="0" fontId="42" fillId="9" borderId="1" xfId="0" applyFont="1" applyFill="1" applyBorder="1" applyAlignment="1">
      <alignment horizontal="right" wrapText="1"/>
    </xf>
    <xf numFmtId="0" fontId="42" fillId="9" borderId="0" xfId="0" applyFont="1" applyFill="1" applyAlignment="1">
      <alignment horizontal="left" vertical="top" wrapText="1"/>
    </xf>
    <xf numFmtId="0" fontId="42" fillId="8" borderId="0" xfId="0" applyFont="1" applyFill="1" applyAlignment="1">
      <alignment horizontal="left" vertical="top" wrapText="1" indent="6"/>
    </xf>
    <xf numFmtId="3" fontId="42" fillId="8" borderId="1" xfId="0" applyNumberFormat="1" applyFont="1" applyFill="1" applyBorder="1" applyAlignment="1">
      <alignment horizontal="right" wrapText="1"/>
    </xf>
    <xf numFmtId="0" fontId="42" fillId="8" borderId="1" xfId="0" applyFont="1" applyFill="1" applyBorder="1" applyAlignment="1">
      <alignment horizontal="right" wrapText="1"/>
    </xf>
    <xf numFmtId="0" fontId="42" fillId="9" borderId="3" xfId="0" applyFont="1" applyFill="1" applyBorder="1" applyAlignment="1">
      <alignment horizontal="right" wrapText="1"/>
    </xf>
    <xf numFmtId="3" fontId="42" fillId="9" borderId="3" xfId="0" applyNumberFormat="1" applyFont="1" applyFill="1" applyBorder="1" applyAlignment="1">
      <alignment horizontal="right" wrapText="1"/>
    </xf>
    <xf numFmtId="3" fontId="42" fillId="9" borderId="1" xfId="0" applyNumberFormat="1" applyFont="1" applyFill="1" applyBorder="1" applyAlignment="1">
      <alignment horizontal="right" wrapText="1"/>
    </xf>
    <xf numFmtId="0" fontId="41" fillId="9" borderId="0" xfId="0" applyFont="1" applyFill="1" applyAlignment="1">
      <alignment horizontal="left" vertical="top" wrapText="1"/>
    </xf>
    <xf numFmtId="0" fontId="42" fillId="9" borderId="0" xfId="0" applyFont="1" applyFill="1" applyAlignment="1">
      <alignment horizontal="left" wrapText="1"/>
    </xf>
    <xf numFmtId="0" fontId="42" fillId="9" borderId="0" xfId="0" applyFont="1" applyFill="1" applyAlignment="1">
      <alignment horizontal="left" vertical="center" wrapText="1" indent="2"/>
    </xf>
    <xf numFmtId="0" fontId="42" fillId="9" borderId="0" xfId="0" applyFont="1" applyFill="1" applyAlignment="1">
      <alignment horizontal="left" vertical="center" wrapText="1" indent="4"/>
    </xf>
    <xf numFmtId="0" fontId="42" fillId="8" borderId="0" xfId="0" applyFont="1" applyFill="1" applyAlignment="1">
      <alignment horizontal="left" vertical="center" wrapText="1"/>
    </xf>
    <xf numFmtId="0" fontId="42" fillId="8" borderId="0" xfId="0" applyFont="1" applyFill="1" applyAlignment="1">
      <alignment horizontal="left" vertical="center" wrapText="1" indent="3"/>
    </xf>
    <xf numFmtId="0" fontId="42" fillId="8" borderId="0" xfId="0" applyFont="1" applyFill="1" applyAlignment="1">
      <alignment horizontal="left" vertical="center" wrapText="1" indent="6"/>
    </xf>
    <xf numFmtId="0" fontId="42" fillId="9" borderId="0" xfId="0" applyFont="1" applyFill="1" applyAlignment="1">
      <alignment horizontal="left" vertical="center" wrapText="1" indent="3"/>
    </xf>
    <xf numFmtId="0" fontId="42" fillId="9" borderId="0" xfId="0" applyFont="1" applyFill="1" applyAlignment="1">
      <alignment horizontal="left" vertical="center" wrapText="1" indent="6"/>
    </xf>
    <xf numFmtId="0" fontId="42" fillId="8" borderId="0" xfId="0" applyFont="1" applyFill="1" applyAlignment="1">
      <alignment horizontal="left" wrapText="1"/>
    </xf>
    <xf numFmtId="0" fontId="41" fillId="8" borderId="0" xfId="0" applyFont="1" applyFill="1" applyAlignment="1">
      <alignment horizontal="left" vertical="top" wrapText="1"/>
    </xf>
    <xf numFmtId="0" fontId="41" fillId="9" borderId="0" xfId="0" applyFont="1" applyFill="1" applyAlignment="1">
      <alignment horizontal="left" vertical="center" wrapText="1" indent="3"/>
    </xf>
    <xf numFmtId="0" fontId="51" fillId="19" borderId="15" xfId="0" applyFont="1" applyFill="1" applyBorder="1" applyAlignment="1">
      <alignment horizontal="center"/>
    </xf>
    <xf numFmtId="10" fontId="27" fillId="19" borderId="15" xfId="0" applyNumberFormat="1" applyFont="1" applyFill="1" applyBorder="1" applyAlignment="1">
      <alignment horizontal="center"/>
    </xf>
    <xf numFmtId="165" fontId="27" fillId="19" borderId="16" xfId="0" applyNumberFormat="1" applyFont="1" applyFill="1" applyBorder="1" applyAlignment="1">
      <alignment horizontal="center"/>
    </xf>
    <xf numFmtId="165" fontId="27" fillId="19" borderId="18" xfId="0" applyNumberFormat="1" applyFont="1" applyFill="1" applyBorder="1" applyAlignment="1">
      <alignment horizontal="center"/>
    </xf>
    <xf numFmtId="174" fontId="52" fillId="0" borderId="18" xfId="0" applyNumberFormat="1" applyFont="1" applyBorder="1" applyAlignment="1">
      <alignment horizontal="center"/>
    </xf>
  </cellXfs>
  <cellStyles count="2">
    <cellStyle name="Normal" xfId="0" builtinId="0"/>
    <cellStyle name="Percent" xfId="1" builtinId="5"/>
  </cellStyles>
  <dxfs count="0"/>
  <tableStyles count="0" defaultTableStyle="TableStyleMedium2" defaultPivotStyle="PivotStyleLight16"/>
  <colors>
    <mruColors>
      <color rgb="FFF4E7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a:t>Value per Share: DCF vs Market vs Street ($)</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cover!$C$9</c:f>
              <c:strCache>
                <c:ptCount val="1"/>
                <c:pt idx="0">
                  <c:v>Value per Share ($)</c:v>
                </c:pt>
              </c:strCache>
            </c:strRef>
          </c:tx>
          <c:spPr>
            <a:solidFill>
              <a:schemeClr val="accent1"/>
            </a:solidFill>
            <a:ln>
              <a:noFill/>
            </a:ln>
            <a:effectLst/>
          </c:spPr>
          <c:invertIfNegative val="0"/>
          <c:dPt>
            <c:idx val="0"/>
            <c:invertIfNegative val="0"/>
            <c:bubble3D val="0"/>
            <c:spPr>
              <a:solidFill>
                <a:srgbClr val="4E7A34"/>
              </a:solidFill>
              <a:ln>
                <a:noFill/>
              </a:ln>
              <a:effectLst/>
            </c:spPr>
            <c:extLst>
              <c:ext xmlns:c16="http://schemas.microsoft.com/office/drawing/2014/chart" uri="{C3380CC4-5D6E-409C-BE32-E72D297353CC}">
                <c16:uniqueId val="{00000001-56CA-402D-87FD-1A65F32705E4}"/>
              </c:ext>
            </c:extLst>
          </c:dPt>
          <c:dPt>
            <c:idx val="1"/>
            <c:invertIfNegative val="0"/>
            <c:bubble3D val="0"/>
            <c:spPr>
              <a:solidFill>
                <a:srgbClr val="A6A6A6"/>
              </a:solidFill>
              <a:ln>
                <a:noFill/>
              </a:ln>
              <a:effectLst/>
            </c:spPr>
            <c:extLst>
              <c:ext xmlns:c16="http://schemas.microsoft.com/office/drawing/2014/chart" uri="{C3380CC4-5D6E-409C-BE32-E72D297353CC}">
                <c16:uniqueId val="{00000002-56CA-402D-87FD-1A65F32705E4}"/>
              </c:ext>
            </c:extLst>
          </c:dPt>
          <c:dPt>
            <c:idx val="2"/>
            <c:invertIfNegative val="0"/>
            <c:bubble3D val="0"/>
            <c:spPr>
              <a:solidFill>
                <a:srgbClr val="C55A11"/>
              </a:solidFill>
              <a:ln>
                <a:noFill/>
              </a:ln>
              <a:effectLst/>
            </c:spPr>
            <c:extLst>
              <c:ext xmlns:c16="http://schemas.microsoft.com/office/drawing/2014/chart" uri="{C3380CC4-5D6E-409C-BE32-E72D297353CC}">
                <c16:uniqueId val="{00000003-56CA-402D-87FD-1A65F32705E4}"/>
              </c:ext>
            </c:extLst>
          </c:dPt>
          <c:dLbls>
            <c:numFmt formatCode="&quot;$&quot;#,##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cover!$B$10:$B$12</c:f>
              <c:strCache>
                <c:ptCount val="3"/>
                <c:pt idx="0">
                  <c:v>DCF (implied)</c:v>
                </c:pt>
                <c:pt idx="1">
                  <c:v>Market</c:v>
                </c:pt>
                <c:pt idx="2">
                  <c:v>Street consensus</c:v>
                </c:pt>
              </c:strCache>
            </c:strRef>
          </c:cat>
          <c:val>
            <c:numRef>
              <c:f>cover!$C$10:$C$12</c:f>
              <c:numCache>
                <c:formatCode>"$"#,##0.00</c:formatCode>
                <c:ptCount val="3"/>
                <c:pt idx="0">
                  <c:v>129.36490218381138</c:v>
                </c:pt>
                <c:pt idx="1">
                  <c:v>107.02</c:v>
                </c:pt>
                <c:pt idx="2">
                  <c:v>131.22</c:v>
                </c:pt>
              </c:numCache>
            </c:numRef>
          </c:val>
          <c:extLst>
            <c:ext xmlns:c16="http://schemas.microsoft.com/office/drawing/2014/chart" uri="{C3380CC4-5D6E-409C-BE32-E72D297353CC}">
              <c16:uniqueId val="{00000000-56CA-402D-87FD-1A65F32705E4}"/>
            </c:ext>
          </c:extLst>
        </c:ser>
        <c:dLbls>
          <c:showLegendKey val="0"/>
          <c:showVal val="0"/>
          <c:showCatName val="0"/>
          <c:showSerName val="0"/>
          <c:showPercent val="0"/>
          <c:showBubbleSize val="0"/>
        </c:dLbls>
        <c:gapWidth val="219"/>
        <c:overlap val="-27"/>
        <c:axId val="804865184"/>
        <c:axId val="804865664"/>
      </c:barChart>
      <c:catAx>
        <c:axId val="8048651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04865664"/>
        <c:crosses val="autoZero"/>
        <c:auto val="1"/>
        <c:lblAlgn val="ctr"/>
        <c:lblOffset val="100"/>
        <c:noMultiLvlLbl val="0"/>
      </c:catAx>
      <c:valAx>
        <c:axId val="804865664"/>
        <c:scaling>
          <c:orientation val="minMax"/>
        </c:scaling>
        <c:delete val="0"/>
        <c:axPos val="l"/>
        <c:majorGridlines>
          <c:spPr>
            <a:ln w="9525" cap="flat" cmpd="sng" algn="ctr">
              <a:solidFill>
                <a:schemeClr val="tx1">
                  <a:lumMod val="15000"/>
                  <a:lumOff val="85000"/>
                </a:schemeClr>
              </a:solidFill>
              <a:round/>
            </a:ln>
            <a:effectLst/>
          </c:spPr>
        </c:majorGridlines>
        <c:numFmt formatCode="&quot;$&quot;#,##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0486518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0</xdr:colOff>
      <xdr:row>8</xdr:row>
      <xdr:rowOff>0</xdr:rowOff>
    </xdr:from>
    <xdr:to>
      <xdr:col>12</xdr:col>
      <xdr:colOff>0</xdr:colOff>
      <xdr:row>27</xdr:row>
      <xdr:rowOff>0</xdr:rowOff>
    </xdr:to>
    <xdr:graphicFrame macro="">
      <xdr:nvGraphicFramePr>
        <xdr:cNvPr id="3" name="ValuePerShareChart">
          <a:extLst>
            <a:ext uri="{FF2B5EF4-FFF2-40B4-BE49-F238E27FC236}">
              <a16:creationId xmlns:a16="http://schemas.microsoft.com/office/drawing/2014/main" id="{7E4E0F38-0F6A-7EDF-7F78-020471ACD02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0</xdr:colOff>
      <xdr:row>9</xdr:row>
      <xdr:rowOff>0</xdr:rowOff>
    </xdr:from>
    <xdr:to>
      <xdr:col>31</xdr:col>
      <xdr:colOff>540221</xdr:colOff>
      <xdr:row>42</xdr:row>
      <xdr:rowOff>134515</xdr:rowOff>
    </xdr:to>
    <xdr:pic>
      <xdr:nvPicPr>
        <xdr:cNvPr id="2" name="Picture 1">
          <a:extLst>
            <a:ext uri="{FF2B5EF4-FFF2-40B4-BE49-F238E27FC236}">
              <a16:creationId xmlns:a16="http://schemas.microsoft.com/office/drawing/2014/main" id="{2402D944-796B-B175-9C8F-2A6878627163}"/>
            </a:ext>
          </a:extLst>
        </xdr:cNvPr>
        <xdr:cNvPicPr>
          <a:picLocks noChangeAspect="1"/>
        </xdr:cNvPicPr>
      </xdr:nvPicPr>
      <xdr:blipFill>
        <a:blip xmlns:r="http://schemas.openxmlformats.org/officeDocument/2006/relationships" r:embed="rId1"/>
        <a:stretch>
          <a:fillRect/>
        </a:stretch>
      </xdr:blipFill>
      <xdr:spPr>
        <a:xfrm>
          <a:off x="12169588" y="1680882"/>
          <a:ext cx="13449398" cy="609604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2" Type="http://schemas.microsoft.com/office/2011/relationships/webextension" Target="webextension2.xml"/><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700" row="2">
    <wetp:webextensionref xmlns:r="http://schemas.openxmlformats.org/officeDocument/2006/relationships" r:id="rId1"/>
  </wetp:taskpane>
  <wetp:taskpane dockstate="right" visibility="0" width="700" row="3">
    <wetp:webextensionref xmlns:r="http://schemas.openxmlformats.org/officeDocument/2006/relationships" r:id="rId2"/>
  </wetp:taskpane>
</wetp:taskpanes>
</file>

<file path=xl/webextensions/webextension1.xml><?xml version="1.0" encoding="utf-8"?>
<we:webextension xmlns:we="http://schemas.microsoft.com/office/webextensions/webextension/2010/11" id="{3848EF24-5E45-4951-90BE-D8A9D6723A92}">
  <we:reference id="wa200009404" version="1.0.0.8" store="en-US" storeType="OMEX"/>
  <we:alternateReferences>
    <we:reference id="WA200009404" version="1.0.0.8" store="" storeType="OMEX"/>
  </we:alternateReferences>
  <we:properties>
    <we:property name="claude.fileId" value="&quot;aa28e92a-0307-47a4-9b43-f3fda2181527&quot;"/>
  </we:properties>
  <we:bindings/>
  <we:snapshot xmlns:r="http://schemas.openxmlformats.org/officeDocument/2006/relationships"/>
</we:webextension>
</file>

<file path=xl/webextensions/webextension2.xml><?xml version="1.0" encoding="utf-8"?>
<we:webextension xmlns:we="http://schemas.microsoft.com/office/webextensions/webextension/2010/11" id="{61EA8DDB-5971-4C6A-8FF4-64CBE3E1C845}">
  <we:reference id="wa200010725" version="1.0.0.1" store="en-US" storeType="OMEX"/>
  <we:alternateReferences>
    <we:reference id="wa200010725" version="1.0.0.1" store="" storeType="OMEX"/>
  </we:alternateReferences>
  <we:properties>
    <we:property name="claude.fileId" value="&quot;1d556552-7eae-4280-a87a-83ad3922791e&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2D86F-B214-45B3-8117-DEE67531FE6B}">
  <dimension ref="A1:N42"/>
  <sheetViews>
    <sheetView showGridLines="0" tabSelected="1" topLeftCell="B16" zoomScale="115" zoomScaleNormal="115" workbookViewId="0">
      <selection activeCell="K34" sqref="K34"/>
    </sheetView>
  </sheetViews>
  <sheetFormatPr defaultRowHeight="14.25" x14ac:dyDescent="0.45"/>
  <cols>
    <col min="2" max="2" width="28.46484375" customWidth="1"/>
    <col min="3" max="3" width="18.86328125" bestFit="1" customWidth="1"/>
    <col min="4" max="4" width="9.06640625" customWidth="1"/>
  </cols>
  <sheetData>
    <row r="1" spans="1:14" x14ac:dyDescent="0.45">
      <c r="A1" s="82" t="s">
        <v>564</v>
      </c>
    </row>
    <row r="2" spans="1:14" x14ac:dyDescent="0.45">
      <c r="A2" s="82" t="s">
        <v>565</v>
      </c>
    </row>
    <row r="3" spans="1:14" x14ac:dyDescent="0.45">
      <c r="A3" t="s">
        <v>566</v>
      </c>
      <c r="F3" t="s">
        <v>567</v>
      </c>
      <c r="M3" s="194">
        <f>2.2%/11%</f>
        <v>0.2</v>
      </c>
      <c r="N3" t="s">
        <v>568</v>
      </c>
    </row>
    <row r="5" spans="1:14" x14ac:dyDescent="0.45">
      <c r="A5" s="82" t="s">
        <v>569</v>
      </c>
    </row>
    <row r="9" spans="1:14" x14ac:dyDescent="0.45">
      <c r="B9" t="s">
        <v>579</v>
      </c>
      <c r="C9" t="s">
        <v>580</v>
      </c>
    </row>
    <row r="10" spans="1:14" x14ac:dyDescent="0.45">
      <c r="B10" t="s">
        <v>571</v>
      </c>
      <c r="C10" s="197">
        <f>dcf!Q124</f>
        <v>129.36490218381138</v>
      </c>
    </row>
    <row r="11" spans="1:14" x14ac:dyDescent="0.45">
      <c r="B11" t="s">
        <v>572</v>
      </c>
      <c r="C11" s="197">
        <f>dcf!D7</f>
        <v>107.02</v>
      </c>
    </row>
    <row r="12" spans="1:14" x14ac:dyDescent="0.45">
      <c r="B12" t="s">
        <v>573</v>
      </c>
      <c r="C12" s="201">
        <v>131.22</v>
      </c>
    </row>
    <row r="29" spans="2:5" ht="15.75" x14ac:dyDescent="0.5">
      <c r="B29" s="81" t="s">
        <v>574</v>
      </c>
    </row>
    <row r="30" spans="2:5" x14ac:dyDescent="0.45">
      <c r="B30" t="s">
        <v>575</v>
      </c>
      <c r="C30" s="195">
        <f>dcf!E2</f>
        <v>8.6520742227729236E-2</v>
      </c>
      <c r="D30" t="s">
        <v>570</v>
      </c>
      <c r="E30" s="196">
        <v>5.0000000000000001E-3</v>
      </c>
    </row>
    <row r="31" spans="2:5" x14ac:dyDescent="0.45">
      <c r="B31" t="s">
        <v>576</v>
      </c>
      <c r="C31" s="195">
        <f>dcf!Q85</f>
        <v>0.18943843608264785</v>
      </c>
      <c r="D31" t="s">
        <v>577</v>
      </c>
      <c r="E31" s="196">
        <v>1.4999999999999999E-2</v>
      </c>
    </row>
    <row r="33" spans="3:8" x14ac:dyDescent="0.45">
      <c r="C33" s="321" t="s">
        <v>578</v>
      </c>
      <c r="D33" s="322">
        <f>$C$30-2*$E$30</f>
        <v>7.6520742227729241E-2</v>
      </c>
      <c r="E33" s="322">
        <f>$C$30-1*$E$30</f>
        <v>8.1520742227729232E-2</v>
      </c>
      <c r="F33" s="322">
        <f>$C$30</f>
        <v>8.6520742227729236E-2</v>
      </c>
      <c r="G33" s="322">
        <f>$C$30+1*$E$30</f>
        <v>9.152074222772924E-2</v>
      </c>
      <c r="H33" s="322">
        <f>$C$30+2*$E$30</f>
        <v>9.6520742227729231E-2</v>
      </c>
    </row>
    <row r="34" spans="3:8" x14ac:dyDescent="0.45">
      <c r="C34" s="324">
        <f>$C$31-4*$E$31</f>
        <v>0.12943843608264785</v>
      </c>
      <c r="D34" s="325" cm="1">
        <f t="array" ref="D34">(SUMPRODUCT((dcf!$H$102:$Q$102+($C34-dcf!$Q$85)*(1-dcf!$H$60)*dcf!$H$30:$Q$30)/(1+D$33)^dcf!$H$103:$Q$103)+(((dcf!$Q$87+($C34-dcf!$Q$85)*(1-dcf!$H$60)*dcf!$Q$30)*(1+dcf!$E$3))*(1-dcf!$E$3/D$33))/(D$33-dcf!$E$3)/(1+D$33)^dcf!$D$9+dcf!$Q$118-dcf!$Q$119)/dcf!$Q$122</f>
        <v>88.84040163232855</v>
      </c>
      <c r="E34" s="325" cm="1">
        <f t="array" ref="E34">(SUMPRODUCT((dcf!$H$102:$Q$102+($C34-dcf!$Q$85)*(1-dcf!$H$60)*dcf!$H$30:$Q$30)/(1+E$33)^dcf!$H$103:$Q$103)+(((dcf!$Q$87+($C34-dcf!$Q$85)*(1-dcf!$H$60)*dcf!$Q$30)*(1+dcf!$E$3))*(1-dcf!$E$3/E$33))/(E$33-dcf!$E$3)/(1+E$33)^dcf!$D$9+dcf!$Q$118-dcf!$Q$119)/dcf!$Q$122</f>
        <v>79.746988796922224</v>
      </c>
      <c r="F34" s="325" cm="1">
        <f t="array" ref="F34">(SUMPRODUCT((dcf!$H$102:$Q$102+($C34-dcf!$Q$85)*(1-dcf!$H$60)*dcf!$H$30:$Q$30)/(1+F$33)^dcf!$H$103:$Q$103)+(((dcf!$Q$87+($C34-dcf!$Q$85)*(1-dcf!$H$60)*dcf!$Q$30)*(1+dcf!$E$3))*(1-dcf!$E$3/F$33))/(F$33-dcf!$E$3)/(1+F$33)^dcf!$D$9+dcf!$Q$118-dcf!$Q$119)/dcf!$Q$122</f>
        <v>71.802378860620223</v>
      </c>
      <c r="G34" s="325" cm="1">
        <f t="array" ref="G34">(SUMPRODUCT((dcf!$H$102:$Q$102+($C34-dcf!$Q$85)*(1-dcf!$H$60)*dcf!$H$30:$Q$30)/(1+G$33)^dcf!$H$103:$Q$103)+(((dcf!$Q$87+($C34-dcf!$Q$85)*(1-dcf!$H$60)*dcf!$Q$30)*(1+dcf!$E$3))*(1-dcf!$E$3/G$33))/(G$33-dcf!$E$3)/(1+G$33)^dcf!$D$9+dcf!$Q$118-dcf!$Q$119)/dcf!$Q$122</f>
        <v>64.814046367756447</v>
      </c>
      <c r="H34" s="325" cm="1">
        <f t="array" ref="H34">(SUMPRODUCT((dcf!$H$102:$Q$102+($C34-dcf!$Q$85)*(1-dcf!$H$60)*dcf!$H$30:$Q$30)/(1+H$33)^dcf!$H$103:$Q$103)+(((dcf!$Q$87+($C34-dcf!$Q$85)*(1-dcf!$H$60)*dcf!$Q$30)*(1+dcf!$E$3))*(1-dcf!$E$3/H$33))/(H$33-dcf!$E$3)/(1+H$33)^dcf!$D$9+dcf!$Q$118-dcf!$Q$119)/dcf!$Q$122</f>
        <v>58.629565761057954</v>
      </c>
    </row>
    <row r="35" spans="3:8" x14ac:dyDescent="0.45">
      <c r="C35" s="324">
        <f>$C$31-3*$E$31</f>
        <v>0.14443843608264784</v>
      </c>
      <c r="D35" s="325" cm="1">
        <f t="array" ref="D35">(SUMPRODUCT((dcf!$H$102:$Q$102+($C35-dcf!$Q$85)*(1-dcf!$H$60)*dcf!$H$30:$Q$30)/(1+D$33)^dcf!$H$103:$Q$103)+(((dcf!$Q$87+($C35-dcf!$Q$85)*(1-dcf!$H$60)*dcf!$Q$30)*(1+dcf!$E$3))*(1-dcf!$E$3/D$33))/(D$33-dcf!$E$3)/(1+D$33)^dcf!$D$9+dcf!$Q$118-dcf!$Q$119)/dcf!$Q$122</f>
        <v>105.37070615970937</v>
      </c>
      <c r="E35" s="325" cm="1">
        <f t="array" ref="E35">(SUMPRODUCT((dcf!$H$102:$Q$102+($C35-dcf!$Q$85)*(1-dcf!$H$60)*dcf!$H$30:$Q$30)/(1+E$33)^dcf!$H$103:$Q$103)+(((dcf!$Q$87+($C35-dcf!$Q$85)*(1-dcf!$H$60)*dcf!$Q$30)*(1+dcf!$E$3))*(1-dcf!$E$3/E$33))/(E$33-dcf!$E$3)/(1+E$33)^dcf!$D$9+dcf!$Q$118-dcf!$Q$119)/dcf!$Q$122</f>
        <v>95.139560259485066</v>
      </c>
      <c r="F35" s="325" cm="1">
        <f t="array" ref="F35">(SUMPRODUCT((dcf!$H$102:$Q$102+($C35-dcf!$Q$85)*(1-dcf!$H$60)*dcf!$H$30:$Q$30)/(1+F$33)^dcf!$H$103:$Q$103)+(((dcf!$Q$87+($C35-dcf!$Q$85)*(1-dcf!$H$60)*dcf!$Q$30)*(1+dcf!$E$3))*(1-dcf!$E$3/F$33))/(F$33-dcf!$E$3)/(1+F$33)^dcf!$D$9+dcf!$Q$118-dcf!$Q$119)/dcf!$Q$122</f>
        <v>86.193009691418013</v>
      </c>
      <c r="G35" s="325" cm="1">
        <f t="array" ref="G35">(SUMPRODUCT((dcf!$H$102:$Q$102+($C35-dcf!$Q$85)*(1-dcf!$H$60)*dcf!$H$30:$Q$30)/(1+G$33)^dcf!$H$103:$Q$103)+(((dcf!$Q$87+($C35-dcf!$Q$85)*(1-dcf!$H$60)*dcf!$Q$30)*(1+dcf!$E$3))*(1-dcf!$E$3/G$33))/(G$33-dcf!$E$3)/(1+G$33)^dcf!$D$9+dcf!$Q$118-dcf!$Q$119)/dcf!$Q$122</f>
        <v>78.316112314820529</v>
      </c>
      <c r="H35" s="325" cm="1">
        <f t="array" ref="H35">(SUMPRODUCT((dcf!$H$102:$Q$102+($C35-dcf!$Q$85)*(1-dcf!$H$60)*dcf!$H$30:$Q$30)/(1+H$33)^dcf!$H$103:$Q$103)+(((dcf!$Q$87+($C35-dcf!$Q$85)*(1-dcf!$H$60)*dcf!$Q$30)*(1+dcf!$E$3))*(1-dcf!$E$3/H$33))/(H$33-dcf!$E$3)/(1+H$33)^dcf!$D$9+dcf!$Q$118-dcf!$Q$119)/dcf!$Q$122</f>
        <v>71.338677773003582</v>
      </c>
    </row>
    <row r="36" spans="3:8" x14ac:dyDescent="0.45">
      <c r="C36" s="323">
        <f>$C$31-2*$E$31</f>
        <v>0.15943843608264785</v>
      </c>
      <c r="D36" s="204" cm="1">
        <f t="array" ref="D36">(SUMPRODUCT((dcf!$H$102:$Q$102+($C36-dcf!$Q$85)*(1-dcf!$H$60)*dcf!$H$30:$Q$30)/(1+D$33)^dcf!$H$103:$Q$103)+(((dcf!$Q$87+($C36-dcf!$Q$85)*(1-dcf!$H$60)*dcf!$Q$30)*(1+dcf!$E$3))*(1-dcf!$E$3/D$33))/(D$33-dcf!$E$3)/(1+D$33)^dcf!$D$9+dcf!$Q$118-dcf!$Q$119)/dcf!$Q$122</f>
        <v>121.90101068709025</v>
      </c>
      <c r="E36" s="204" cm="1">
        <f t="array" ref="E36">(SUMPRODUCT((dcf!$H$102:$Q$102+($C36-dcf!$Q$85)*(1-dcf!$H$60)*dcf!$H$30:$Q$30)/(1+E$33)^dcf!$H$103:$Q$103)+(((dcf!$Q$87+($C36-dcf!$Q$85)*(1-dcf!$H$60)*dcf!$Q$30)*(1+dcf!$E$3))*(1-dcf!$E$3/E$33))/(E$33-dcf!$E$3)/(1+E$33)^dcf!$D$9+dcf!$Q$118-dcf!$Q$119)/dcf!$Q$122</f>
        <v>110.53213172204795</v>
      </c>
      <c r="F36" s="204" cm="1">
        <f t="array" ref="F36">(SUMPRODUCT((dcf!$H$102:$Q$102+($C36-dcf!$Q$85)*(1-dcf!$H$60)*dcf!$H$30:$Q$30)/(1+F$33)^dcf!$H$103:$Q$103)+(((dcf!$Q$87+($C36-dcf!$Q$85)*(1-dcf!$H$60)*dcf!$Q$30)*(1+dcf!$E$3))*(1-dcf!$E$3/F$33))/(F$33-dcf!$E$3)/(1+F$33)^dcf!$D$9+dcf!$Q$118-dcf!$Q$119)/dcf!$Q$122</f>
        <v>100.58364052221582</v>
      </c>
      <c r="G36" s="204" cm="1">
        <f t="array" ref="G36">(SUMPRODUCT((dcf!$H$102:$Q$102+($C36-dcf!$Q$85)*(1-dcf!$H$60)*dcf!$H$30:$Q$30)/(1+G$33)^dcf!$H$103:$Q$103)+(((dcf!$Q$87+($C36-dcf!$Q$85)*(1-dcf!$H$60)*dcf!$Q$30)*(1+dcf!$E$3))*(1-dcf!$E$3/G$33))/(G$33-dcf!$E$3)/(1+G$33)^dcf!$D$9+dcf!$Q$118-dcf!$Q$119)/dcf!$Q$122</f>
        <v>91.818178261884654</v>
      </c>
      <c r="H36" s="204" cm="1">
        <f t="array" ref="H36">(SUMPRODUCT((dcf!$H$102:$Q$102+($C36-dcf!$Q$85)*(1-dcf!$H$60)*dcf!$H$30:$Q$30)/(1+H$33)^dcf!$H$103:$Q$103)+(((dcf!$Q$87+($C36-dcf!$Q$85)*(1-dcf!$H$60)*dcf!$Q$30)*(1+dcf!$E$3))*(1-dcf!$E$3/H$33))/(H$33-dcf!$E$3)/(1+H$33)^dcf!$D$9+dcf!$Q$118-dcf!$Q$119)/dcf!$Q$122</f>
        <v>84.047789784949231</v>
      </c>
    </row>
    <row r="37" spans="3:8" ht="14.65" thickBot="1" x14ac:dyDescent="0.5">
      <c r="C37" s="202">
        <f>$C$31-1*$E$31</f>
        <v>0.17443843608264786</v>
      </c>
      <c r="D37" s="199" cm="1">
        <f t="array" ref="D37">(SUMPRODUCT((dcf!$H$102:$Q$102+($C37-dcf!$Q$85)*(1-dcf!$H$60)*dcf!$H$30:$Q$30)/(1+D$33)^dcf!$H$103:$Q$103)+(((dcf!$Q$87+($C37-dcf!$Q$85)*(1-dcf!$H$60)*dcf!$Q$30)*(1+dcf!$E$3))*(1-dcf!$E$3/D$33))/(D$33-dcf!$E$3)/(1+D$33)^dcf!$D$9+dcf!$Q$118-dcf!$Q$119)/dcf!$Q$122</f>
        <v>138.43131521447106</v>
      </c>
      <c r="E37" s="199" cm="1">
        <f t="array" ref="E37">(SUMPRODUCT((dcf!$H$102:$Q$102+($C37-dcf!$Q$85)*(1-dcf!$H$60)*dcf!$H$30:$Q$30)/(1+E$33)^dcf!$H$103:$Q$103)+(((dcf!$Q$87+($C37-dcf!$Q$85)*(1-dcf!$H$60)*dcf!$Q$30)*(1+dcf!$E$3))*(1-dcf!$E$3/E$33))/(E$33-dcf!$E$3)/(1+E$33)^dcf!$D$9+dcf!$Q$118-dcf!$Q$119)/dcf!$Q$122</f>
        <v>125.92470318461078</v>
      </c>
      <c r="F37" s="200" cm="1">
        <f t="array" ref="F37">(SUMPRODUCT((dcf!$H$102:$Q$102+($C37-dcf!$Q$85)*(1-dcf!$H$60)*dcf!$H$30:$Q$30)/(1+F$33)^dcf!$H$103:$Q$103)+(((dcf!$Q$87+($C37-dcf!$Q$85)*(1-dcf!$H$60)*dcf!$Q$30)*(1+dcf!$E$3))*(1-dcf!$E$3/F$33))/(F$33-dcf!$E$3)/(1+F$33)^dcf!$D$9+dcf!$Q$118-dcf!$Q$119)/dcf!$Q$122</f>
        <v>114.97427135301359</v>
      </c>
      <c r="G37" s="199" cm="1">
        <f t="array" ref="G37">(SUMPRODUCT((dcf!$H$102:$Q$102+($C37-dcf!$Q$85)*(1-dcf!$H$60)*dcf!$H$30:$Q$30)/(1+G$33)^dcf!$H$103:$Q$103)+(((dcf!$Q$87+($C37-dcf!$Q$85)*(1-dcf!$H$60)*dcf!$Q$30)*(1+dcf!$E$3))*(1-dcf!$E$3/G$33))/(G$33-dcf!$E$3)/(1+G$33)^dcf!$D$9+dcf!$Q$118-dcf!$Q$119)/dcf!$Q$122</f>
        <v>105.32024420894874</v>
      </c>
      <c r="H37" s="199" cm="1">
        <f t="array" ref="H37">(SUMPRODUCT((dcf!$H$102:$Q$102+($C37-dcf!$Q$85)*(1-dcf!$H$60)*dcf!$H$30:$Q$30)/(1+H$33)^dcf!$H$103:$Q$103)+(((dcf!$Q$87+($C37-dcf!$Q$85)*(1-dcf!$H$60)*dcf!$Q$30)*(1+dcf!$E$3))*(1-dcf!$E$3/H$33))/(H$33-dcf!$E$3)/(1+H$33)^dcf!$D$9+dcf!$Q$118-dcf!$Q$119)/dcf!$Q$122</f>
        <v>96.756901796894866</v>
      </c>
    </row>
    <row r="38" spans="3:8" ht="15" thickTop="1" thickBot="1" x14ac:dyDescent="0.5">
      <c r="C38" s="202">
        <f>$C$31</f>
        <v>0.18943843608264785</v>
      </c>
      <c r="D38" s="199" cm="1">
        <f t="array" ref="D38">(SUMPRODUCT((dcf!$H$102:$Q$102+($C38-dcf!$Q$85)*(1-dcf!$H$60)*dcf!$H$30:$Q$30)/(1+D$33)^dcf!$H$103:$Q$103)+(((dcf!$Q$87+($C38-dcf!$Q$85)*(1-dcf!$H$60)*dcf!$Q$30)*(1+dcf!$E$3))*(1-dcf!$E$3/D$33))/(D$33-dcf!$E$3)/(1+D$33)^dcf!$D$9+dcf!$Q$118-dcf!$Q$119)/dcf!$Q$122</f>
        <v>154.96161974185191</v>
      </c>
      <c r="E38" s="203" cm="1">
        <f t="array" ref="E38">(SUMPRODUCT((dcf!$H$102:$Q$102+($C38-dcf!$Q$85)*(1-dcf!$H$60)*dcf!$H$30:$Q$30)/(1+E$33)^dcf!$H$103:$Q$103)+(((dcf!$Q$87+($C38-dcf!$Q$85)*(1-dcf!$H$60)*dcf!$Q$30)*(1+dcf!$E$3))*(1-dcf!$E$3/E$33))/(E$33-dcf!$E$3)/(1+E$33)^dcf!$D$9+dcf!$Q$118-dcf!$Q$119)/dcf!$Q$122</f>
        <v>141.31727464717363</v>
      </c>
      <c r="F38" s="205" cm="1">
        <f t="array" ref="F38">(SUMPRODUCT((dcf!$H$102:$Q$102+($C38-dcf!$Q$85)*(1-dcf!$H$60)*dcf!$H$30:$Q$30)/(1+F$33)^dcf!$H$103:$Q$103)+(((dcf!$Q$87+($C38-dcf!$Q$85)*(1-dcf!$H$60)*dcf!$Q$30)*(1+dcf!$E$3))*(1-dcf!$E$3/F$33))/(F$33-dcf!$E$3)/(1+F$33)^dcf!$D$9+dcf!$Q$118-dcf!$Q$119)/dcf!$Q$122</f>
        <v>129.36490218381138</v>
      </c>
      <c r="G38" s="198" cm="1">
        <f t="array" ref="G38">(SUMPRODUCT((dcf!$H$102:$Q$102+($C38-dcf!$Q$85)*(1-dcf!$H$60)*dcf!$H$30:$Q$30)/(1+G$33)^dcf!$H$103:$Q$103)+(((dcf!$Q$87+($C38-dcf!$Q$85)*(1-dcf!$H$60)*dcf!$Q$30)*(1+dcf!$E$3))*(1-dcf!$E$3/G$33))/(G$33-dcf!$E$3)/(1+G$33)^dcf!$D$9+dcf!$Q$118-dcf!$Q$119)/dcf!$Q$122</f>
        <v>118.82231015601286</v>
      </c>
      <c r="H38" s="199" cm="1">
        <f t="array" ref="H38">(SUMPRODUCT((dcf!$H$102:$Q$102+($C38-dcf!$Q$85)*(1-dcf!$H$60)*dcf!$H$30:$Q$30)/(1+H$33)^dcf!$H$103:$Q$103)+(((dcf!$Q$87+($C38-dcf!$Q$85)*(1-dcf!$H$60)*dcf!$Q$30)*(1+dcf!$E$3))*(1-dcf!$E$3/H$33))/(H$33-dcf!$E$3)/(1+H$33)^dcf!$D$9+dcf!$Q$118-dcf!$Q$119)/dcf!$Q$122</f>
        <v>109.46601380884049</v>
      </c>
    </row>
    <row r="39" spans="3:8" ht="14.65" thickTop="1" x14ac:dyDescent="0.45">
      <c r="C39" s="202">
        <f>$C$31+1*$E$31</f>
        <v>0.20443843608264783</v>
      </c>
      <c r="D39" s="199" cm="1">
        <f t="array" ref="D39">(SUMPRODUCT((dcf!$H$102:$Q$102+($C39-dcf!$Q$85)*(1-dcf!$H$60)*dcf!$H$30:$Q$30)/(1+D$33)^dcf!$H$103:$Q$103)+(((dcf!$Q$87+($C39-dcf!$Q$85)*(1-dcf!$H$60)*dcf!$Q$30)*(1+dcf!$E$3))*(1-dcf!$E$3/D$33))/(D$33-dcf!$E$3)/(1+D$33)^dcf!$D$9+dcf!$Q$118-dcf!$Q$119)/dcf!$Q$122</f>
        <v>171.49192426923275</v>
      </c>
      <c r="E39" s="199" cm="1">
        <f t="array" ref="E39">(SUMPRODUCT((dcf!$H$102:$Q$102+($C39-dcf!$Q$85)*(1-dcf!$H$60)*dcf!$H$30:$Q$30)/(1+E$33)^dcf!$H$103:$Q$103)+(((dcf!$Q$87+($C39-dcf!$Q$85)*(1-dcf!$H$60)*dcf!$Q$30)*(1+dcf!$E$3))*(1-dcf!$E$3/E$33))/(E$33-dcf!$E$3)/(1+E$33)^dcf!$D$9+dcf!$Q$118-dcf!$Q$119)/dcf!$Q$122</f>
        <v>156.7098461097365</v>
      </c>
      <c r="F39" s="204" cm="1">
        <f t="array" ref="F39">(SUMPRODUCT((dcf!$H$102:$Q$102+($C39-dcf!$Q$85)*(1-dcf!$H$60)*dcf!$H$30:$Q$30)/(1+F$33)^dcf!$H$103:$Q$103)+(((dcf!$Q$87+($C39-dcf!$Q$85)*(1-dcf!$H$60)*dcf!$Q$30)*(1+dcf!$E$3))*(1-dcf!$E$3/F$33))/(F$33-dcf!$E$3)/(1+F$33)^dcf!$D$9+dcf!$Q$118-dcf!$Q$119)/dcf!$Q$122</f>
        <v>143.75553301460917</v>
      </c>
      <c r="G39" s="199" cm="1">
        <f t="array" ref="G39">(SUMPRODUCT((dcf!$H$102:$Q$102+($C39-dcf!$Q$85)*(1-dcf!$H$60)*dcf!$H$30:$Q$30)/(1+G$33)^dcf!$H$103:$Q$103)+(((dcf!$Q$87+($C39-dcf!$Q$85)*(1-dcf!$H$60)*dcf!$Q$30)*(1+dcf!$E$3))*(1-dcf!$E$3/G$33))/(G$33-dcf!$E$3)/(1+G$33)^dcf!$D$9+dcf!$Q$118-dcf!$Q$119)/dcf!$Q$122</f>
        <v>132.32437610307696</v>
      </c>
      <c r="H39" s="199" cm="1">
        <f t="array" ref="H39">(SUMPRODUCT((dcf!$H$102:$Q$102+($C39-dcf!$Q$85)*(1-dcf!$H$60)*dcf!$H$30:$Q$30)/(1+H$33)^dcf!$H$103:$Q$103)+(((dcf!$Q$87+($C39-dcf!$Q$85)*(1-dcf!$H$60)*dcf!$Q$30)*(1+dcf!$E$3))*(1-dcf!$E$3/H$33))/(H$33-dcf!$E$3)/(1+H$33)^dcf!$D$9+dcf!$Q$118-dcf!$Q$119)/dcf!$Q$122</f>
        <v>122.17512582078609</v>
      </c>
    </row>
    <row r="40" spans="3:8" x14ac:dyDescent="0.45">
      <c r="C40" s="202">
        <f>$C$31+2*$E$31</f>
        <v>0.21943843608264785</v>
      </c>
      <c r="D40" s="199" cm="1">
        <f t="array" ref="D40">(SUMPRODUCT((dcf!$H$102:$Q$102+($C40-dcf!$Q$85)*(1-dcf!$H$60)*dcf!$H$30:$Q$30)/(1+D$33)^dcf!$H$103:$Q$103)+(((dcf!$Q$87+($C40-dcf!$Q$85)*(1-dcf!$H$60)*dcf!$Q$30)*(1+dcf!$E$3))*(1-dcf!$E$3/D$33))/(D$33-dcf!$E$3)/(1+D$33)^dcf!$D$9+dcf!$Q$118-dcf!$Q$119)/dcf!$Q$122</f>
        <v>188.02222879661355</v>
      </c>
      <c r="E40" s="199" cm="1">
        <f t="array" ref="E40">(SUMPRODUCT((dcf!$H$102:$Q$102+($C40-dcf!$Q$85)*(1-dcf!$H$60)*dcf!$H$30:$Q$30)/(1+E$33)^dcf!$H$103:$Q$103)+(((dcf!$Q$87+($C40-dcf!$Q$85)*(1-dcf!$H$60)*dcf!$Q$30)*(1+dcf!$E$3))*(1-dcf!$E$3/E$33))/(E$33-dcf!$E$3)/(1+E$33)^dcf!$D$9+dcf!$Q$118-dcf!$Q$119)/dcf!$Q$122</f>
        <v>172.10241757229937</v>
      </c>
      <c r="F40" s="199" cm="1">
        <f t="array" ref="F40">(SUMPRODUCT((dcf!$H$102:$Q$102+($C40-dcf!$Q$85)*(1-dcf!$H$60)*dcf!$H$30:$Q$30)/(1+F$33)^dcf!$H$103:$Q$103)+(((dcf!$Q$87+($C40-dcf!$Q$85)*(1-dcf!$H$60)*dcf!$Q$30)*(1+dcf!$E$3))*(1-dcf!$E$3/F$33))/(F$33-dcf!$E$3)/(1+F$33)^dcf!$D$9+dcf!$Q$118-dcf!$Q$119)/dcf!$Q$122</f>
        <v>158.14616384540699</v>
      </c>
      <c r="G40" s="199" cm="1">
        <f t="array" ref="G40">(SUMPRODUCT((dcf!$H$102:$Q$102+($C40-dcf!$Q$85)*(1-dcf!$H$60)*dcf!$H$30:$Q$30)/(1+G$33)^dcf!$H$103:$Q$103)+(((dcf!$Q$87+($C40-dcf!$Q$85)*(1-dcf!$H$60)*dcf!$Q$30)*(1+dcf!$E$3))*(1-dcf!$E$3/G$33))/(G$33-dcf!$E$3)/(1+G$33)^dcf!$D$9+dcf!$Q$118-dcf!$Q$119)/dcf!$Q$122</f>
        <v>145.82644205014103</v>
      </c>
      <c r="H40" s="199" cm="1">
        <f t="array" ref="H40">(SUMPRODUCT((dcf!$H$102:$Q$102+($C40-dcf!$Q$85)*(1-dcf!$H$60)*dcf!$H$30:$Q$30)/(1+H$33)^dcf!$H$103:$Q$103)+(((dcf!$Q$87+($C40-dcf!$Q$85)*(1-dcf!$H$60)*dcf!$Q$30)*(1+dcf!$E$3))*(1-dcf!$E$3/H$33))/(H$33-dcf!$E$3)/(1+H$33)^dcf!$D$9+dcf!$Q$118-dcf!$Q$119)/dcf!$Q$122</f>
        <v>134.88423783273174</v>
      </c>
    </row>
    <row r="41" spans="3:8" x14ac:dyDescent="0.45">
      <c r="C41" s="202">
        <f>$C$31+3*$E$31</f>
        <v>0.23443843608264786</v>
      </c>
      <c r="D41" s="199" cm="1">
        <f t="array" ref="D41">(SUMPRODUCT((dcf!$H$102:$Q$102+($C41-dcf!$Q$85)*(1-dcf!$H$60)*dcf!$H$30:$Q$30)/(1+D$33)^dcf!$H$103:$Q$103)+(((dcf!$Q$87+($C41-dcf!$Q$85)*(1-dcf!$H$60)*dcf!$Q$30)*(1+dcf!$E$3))*(1-dcf!$E$3/D$33))/(D$33-dcf!$E$3)/(1+D$33)^dcf!$D$9+dcf!$Q$118-dcf!$Q$119)/dcf!$Q$122</f>
        <v>204.55253332399442</v>
      </c>
      <c r="E41" s="199" cm="1">
        <f t="array" ref="E41">(SUMPRODUCT((dcf!$H$102:$Q$102+($C41-dcf!$Q$85)*(1-dcf!$H$60)*dcf!$H$30:$Q$30)/(1+E$33)^dcf!$H$103:$Q$103)+(((dcf!$Q$87+($C41-dcf!$Q$85)*(1-dcf!$H$60)*dcf!$Q$30)*(1+dcf!$E$3))*(1-dcf!$E$3/E$33))/(E$33-dcf!$E$3)/(1+E$33)^dcf!$D$9+dcf!$Q$118-dcf!$Q$119)/dcf!$Q$122</f>
        <v>187.49498903486224</v>
      </c>
      <c r="F41" s="199" cm="1">
        <f t="array" ref="F41">(SUMPRODUCT((dcf!$H$102:$Q$102+($C41-dcf!$Q$85)*(1-dcf!$H$60)*dcf!$H$30:$Q$30)/(1+F$33)^dcf!$H$103:$Q$103)+(((dcf!$Q$87+($C41-dcf!$Q$85)*(1-dcf!$H$60)*dcf!$Q$30)*(1+dcf!$E$3))*(1-dcf!$E$3/F$33))/(F$33-dcf!$E$3)/(1+F$33)^dcf!$D$9+dcf!$Q$118-dcf!$Q$119)/dcf!$Q$122</f>
        <v>172.53679467620478</v>
      </c>
      <c r="G41" s="199" cm="1">
        <f t="array" ref="G41">(SUMPRODUCT((dcf!$H$102:$Q$102+($C41-dcf!$Q$85)*(1-dcf!$H$60)*dcf!$H$30:$Q$30)/(1+G$33)^dcf!$H$103:$Q$103)+(((dcf!$Q$87+($C41-dcf!$Q$85)*(1-dcf!$H$60)*dcf!$Q$30)*(1+dcf!$E$3))*(1-dcf!$E$3/G$33))/(G$33-dcf!$E$3)/(1+G$33)^dcf!$D$9+dcf!$Q$118-dcf!$Q$119)/dcf!$Q$122</f>
        <v>159.32850799720515</v>
      </c>
      <c r="H41" s="199" cm="1">
        <f t="array" ref="H41">(SUMPRODUCT((dcf!$H$102:$Q$102+($C41-dcf!$Q$85)*(1-dcf!$H$60)*dcf!$H$30:$Q$30)/(1+H$33)^dcf!$H$103:$Q$103)+(((dcf!$Q$87+($C41-dcf!$Q$85)*(1-dcf!$H$60)*dcf!$Q$30)*(1+dcf!$E$3))*(1-dcf!$E$3/H$33))/(H$33-dcf!$E$3)/(1+H$33)^dcf!$D$9+dcf!$Q$118-dcf!$Q$119)/dcf!$Q$122</f>
        <v>147.59334984467742</v>
      </c>
    </row>
    <row r="42" spans="3:8" x14ac:dyDescent="0.45">
      <c r="C42" s="202">
        <f>$C$31+4*$E$31</f>
        <v>0.24943843608264785</v>
      </c>
      <c r="D42" s="199" cm="1">
        <f t="array" ref="D42">(SUMPRODUCT((dcf!$H$102:$Q$102+($C42-dcf!$Q$85)*(1-dcf!$H$60)*dcf!$H$30:$Q$30)/(1+D$33)^dcf!$H$103:$Q$103)+(((dcf!$Q$87+($C42-dcf!$Q$85)*(1-dcf!$H$60)*dcf!$Q$30)*(1+dcf!$E$3))*(1-dcf!$E$3/D$33))/(D$33-dcf!$E$3)/(1+D$33)^dcf!$D$9+dcf!$Q$118-dcf!$Q$119)/dcf!$Q$122</f>
        <v>221.08283785137522</v>
      </c>
      <c r="E42" s="199" cm="1">
        <f t="array" ref="E42">(SUMPRODUCT((dcf!$H$102:$Q$102+($C42-dcf!$Q$85)*(1-dcf!$H$60)*dcf!$H$30:$Q$30)/(1+E$33)^dcf!$H$103:$Q$103)+(((dcf!$Q$87+($C42-dcf!$Q$85)*(1-dcf!$H$60)*dcf!$Q$30)*(1+dcf!$E$3))*(1-dcf!$E$3/E$33))/(E$33-dcf!$E$3)/(1+E$33)^dcf!$D$9+dcf!$Q$118-dcf!$Q$119)/dcf!$Q$122</f>
        <v>202.88756049742511</v>
      </c>
      <c r="F42" s="199" cm="1">
        <f t="array" ref="F42">(SUMPRODUCT((dcf!$H$102:$Q$102+($C42-dcf!$Q$85)*(1-dcf!$H$60)*dcf!$H$30:$Q$30)/(1+F$33)^dcf!$H$103:$Q$103)+(((dcf!$Q$87+($C42-dcf!$Q$85)*(1-dcf!$H$60)*dcf!$Q$30)*(1+dcf!$E$3))*(1-dcf!$E$3/F$33))/(F$33-dcf!$E$3)/(1+F$33)^dcf!$D$9+dcf!$Q$118-dcf!$Q$119)/dcf!$Q$122</f>
        <v>186.92742550700257</v>
      </c>
      <c r="G42" s="199" cm="1">
        <f t="array" ref="G42">(SUMPRODUCT((dcf!$H$102:$Q$102+($C42-dcf!$Q$85)*(1-dcf!$H$60)*dcf!$H$30:$Q$30)/(1+G$33)^dcf!$H$103:$Q$103)+(((dcf!$Q$87+($C42-dcf!$Q$85)*(1-dcf!$H$60)*dcf!$Q$30)*(1+dcf!$E$3))*(1-dcf!$E$3/G$33))/(G$33-dcf!$E$3)/(1+G$33)^dcf!$D$9+dcf!$Q$118-dcf!$Q$119)/dcf!$Q$122</f>
        <v>172.83057394426919</v>
      </c>
      <c r="H42" s="199" cm="1">
        <f t="array" ref="H42">(SUMPRODUCT((dcf!$H$102:$Q$102+($C42-dcf!$Q$85)*(1-dcf!$H$60)*dcf!$H$30:$Q$30)/(1+H$33)^dcf!$H$103:$Q$103)+(((dcf!$Q$87+($C42-dcf!$Q$85)*(1-dcf!$H$60)*dcf!$Q$30)*(1+dcf!$E$3))*(1-dcf!$E$3/H$33))/(H$33-dcf!$E$3)/(1+H$33)^dcf!$D$9+dcf!$Q$118-dcf!$Q$119)/dcf!$Q$122</f>
        <v>160.30246185662301</v>
      </c>
    </row>
  </sheetData>
  <conditionalFormatting sqref="D34:H42">
    <cfRule type="colorScale" priority="1">
      <colorScale>
        <cfvo type="min"/>
        <cfvo type="percentile" val="50"/>
        <cfvo type="max"/>
        <color rgb="FFF8696B"/>
        <color rgb="FFFFEB84"/>
        <color rgb="FF63BE7B"/>
      </colorScale>
    </cfRule>
  </conditionalFormatting>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13A13-F270-403A-8D9B-3621D693D352}">
  <dimension ref="B1:R125"/>
  <sheetViews>
    <sheetView showGridLines="0" topLeftCell="B1" zoomScale="55" zoomScaleNormal="55" workbookViewId="0">
      <selection activeCell="Q100" sqref="Q100"/>
    </sheetView>
  </sheetViews>
  <sheetFormatPr defaultRowHeight="14.25" x14ac:dyDescent="0.45"/>
  <cols>
    <col min="1" max="1" width="5.19921875" customWidth="1"/>
    <col min="2" max="2" width="49.265625" customWidth="1"/>
    <col min="3" max="17" width="13.1328125" customWidth="1"/>
  </cols>
  <sheetData>
    <row r="1" spans="2:18" ht="18" x14ac:dyDescent="0.55000000000000004">
      <c r="B1" s="1" t="s">
        <v>56</v>
      </c>
      <c r="C1" s="1"/>
      <c r="D1" s="1"/>
      <c r="E1" s="1"/>
      <c r="F1" s="1"/>
      <c r="G1" s="1"/>
      <c r="H1" s="1"/>
      <c r="I1" s="1"/>
      <c r="J1" s="1"/>
      <c r="K1" s="1"/>
      <c r="L1" s="1"/>
      <c r="M1" s="2"/>
      <c r="N1" s="2"/>
      <c r="O1" s="2"/>
      <c r="P1" s="2"/>
      <c r="Q1" s="2"/>
      <c r="R1" s="2"/>
    </row>
    <row r="2" spans="2:18" ht="18" x14ac:dyDescent="0.55000000000000004">
      <c r="B2" s="3" t="s">
        <v>0</v>
      </c>
      <c r="C2" s="3"/>
      <c r="D2" s="4" t="s">
        <v>1</v>
      </c>
      <c r="E2" s="5">
        <f>wacc!D22</f>
        <v>8.6520742227729236E-2</v>
      </c>
      <c r="F2" s="6"/>
      <c r="G2" s="6"/>
      <c r="H2" s="3"/>
      <c r="I2" s="6"/>
      <c r="J2" s="6"/>
      <c r="K2" s="6"/>
      <c r="L2" s="6"/>
    </row>
    <row r="3" spans="2:18" ht="18" x14ac:dyDescent="0.55000000000000004">
      <c r="B3" s="7" t="s">
        <v>2</v>
      </c>
      <c r="C3" s="8">
        <f>Q124</f>
        <v>129.36490218381138</v>
      </c>
      <c r="D3" s="4" t="s">
        <v>3</v>
      </c>
      <c r="E3" s="5">
        <v>2.1999999999999999E-2</v>
      </c>
      <c r="F3" s="6"/>
      <c r="G3" s="6"/>
      <c r="I3" s="6"/>
      <c r="J3" s="6"/>
      <c r="K3" s="6"/>
      <c r="L3" s="6"/>
    </row>
    <row r="4" spans="2:18" ht="18" x14ac:dyDescent="0.55000000000000004">
      <c r="B4" s="3"/>
      <c r="C4" s="3"/>
      <c r="D4" s="9" t="s">
        <v>4</v>
      </c>
      <c r="E4" s="10">
        <v>46231</v>
      </c>
      <c r="F4" s="3"/>
      <c r="G4" s="3"/>
      <c r="I4" s="3"/>
      <c r="J4" s="3"/>
      <c r="K4" s="3"/>
      <c r="L4" s="3"/>
    </row>
    <row r="5" spans="2:18" ht="18" x14ac:dyDescent="0.55000000000000004">
      <c r="D5" s="9" t="s">
        <v>5</v>
      </c>
      <c r="E5" s="10">
        <v>46387</v>
      </c>
      <c r="F5" s="3"/>
      <c r="G5" s="3"/>
      <c r="H5" s="3"/>
      <c r="I5" s="3"/>
      <c r="J5" s="3"/>
      <c r="K5" s="3"/>
      <c r="L5" s="3"/>
    </row>
    <row r="6" spans="2:18" ht="18" x14ac:dyDescent="0.55000000000000004">
      <c r="B6" s="3" t="s">
        <v>6</v>
      </c>
      <c r="C6" s="3"/>
      <c r="D6" s="11">
        <f>(Q124-D7)/D7</f>
        <v>0.20879183501972889</v>
      </c>
      <c r="F6" s="3"/>
      <c r="G6" s="3"/>
      <c r="H6" s="3"/>
      <c r="I6" s="3"/>
      <c r="J6" s="3"/>
      <c r="K6" s="3"/>
      <c r="L6" s="3"/>
    </row>
    <row r="7" spans="2:18" ht="18" x14ac:dyDescent="0.55000000000000004">
      <c r="B7" s="3" t="s">
        <v>7</v>
      </c>
      <c r="C7" s="3"/>
      <c r="D7" s="3">
        <v>107.02</v>
      </c>
      <c r="E7" s="3"/>
      <c r="F7" s="3"/>
      <c r="G7" s="3"/>
      <c r="H7" s="3"/>
      <c r="I7" s="3"/>
      <c r="J7" s="3"/>
      <c r="K7" s="3"/>
      <c r="L7" s="3"/>
    </row>
    <row r="8" spans="2:18" ht="18" x14ac:dyDescent="0.55000000000000004">
      <c r="B8" s="3" t="s">
        <v>8</v>
      </c>
      <c r="C8" s="3"/>
      <c r="D8" s="3">
        <f>(E5-E4)/365</f>
        <v>0.42739726027397262</v>
      </c>
      <c r="E8" s="3"/>
      <c r="F8" s="3"/>
      <c r="G8" s="3"/>
      <c r="H8" s="3"/>
      <c r="I8" s="3"/>
      <c r="J8" s="3"/>
      <c r="K8" s="3"/>
      <c r="L8" s="3"/>
    </row>
    <row r="9" spans="2:18" ht="18" x14ac:dyDescent="0.55000000000000004">
      <c r="B9" s="3" t="s">
        <v>9</v>
      </c>
      <c r="C9" s="3"/>
      <c r="D9" s="3">
        <f>(E5-E4)/365+9</f>
        <v>9.4273972602739722</v>
      </c>
      <c r="E9" s="3"/>
      <c r="F9" s="3"/>
      <c r="G9" s="3"/>
      <c r="H9" s="3"/>
      <c r="I9" s="3"/>
      <c r="J9" s="3"/>
      <c r="K9" s="3"/>
      <c r="L9" s="3"/>
    </row>
    <row r="10" spans="2:18" ht="18" x14ac:dyDescent="0.55000000000000004">
      <c r="B10" s="3"/>
      <c r="C10" s="3"/>
      <c r="D10" s="3"/>
      <c r="E10" s="3"/>
      <c r="F10" s="3"/>
      <c r="G10" s="3"/>
      <c r="H10" s="3"/>
      <c r="I10" s="3"/>
      <c r="J10" s="3"/>
      <c r="K10" s="3"/>
      <c r="L10" s="3"/>
    </row>
    <row r="11" spans="2:18" ht="18" x14ac:dyDescent="0.55000000000000004">
      <c r="B11" s="1" t="s">
        <v>10</v>
      </c>
      <c r="C11" s="12"/>
      <c r="D11" s="12"/>
      <c r="E11" s="12"/>
      <c r="F11" s="12"/>
      <c r="G11" s="12"/>
      <c r="H11" s="12"/>
      <c r="I11" s="12"/>
      <c r="J11" s="12"/>
      <c r="K11" s="12"/>
      <c r="L11" s="12"/>
      <c r="M11" s="12"/>
      <c r="N11" s="12"/>
      <c r="O11" s="12"/>
      <c r="P11" s="12"/>
      <c r="Q11" s="12"/>
    </row>
    <row r="12" spans="2:18" ht="18" x14ac:dyDescent="0.55000000000000004">
      <c r="B12" s="13" t="s">
        <v>11</v>
      </c>
      <c r="C12" s="14" t="s">
        <v>12</v>
      </c>
      <c r="D12" s="14" t="s">
        <v>13</v>
      </c>
      <c r="E12" s="14" t="s">
        <v>14</v>
      </c>
      <c r="F12" s="14" t="s">
        <v>15</v>
      </c>
      <c r="G12" s="14" t="s">
        <v>16</v>
      </c>
      <c r="H12" s="14" t="s">
        <v>17</v>
      </c>
      <c r="I12" s="14" t="s">
        <v>18</v>
      </c>
      <c r="J12" s="14" t="s">
        <v>19</v>
      </c>
      <c r="K12" s="14" t="s">
        <v>20</v>
      </c>
      <c r="L12" s="14" t="s">
        <v>21</v>
      </c>
      <c r="M12" s="14" t="s">
        <v>22</v>
      </c>
      <c r="N12" s="14" t="s">
        <v>23</v>
      </c>
      <c r="O12" s="14" t="s">
        <v>24</v>
      </c>
      <c r="P12" s="14" t="s">
        <v>25</v>
      </c>
      <c r="Q12" s="14" t="s">
        <v>26</v>
      </c>
    </row>
    <row r="13" spans="2:18" ht="18" x14ac:dyDescent="0.55000000000000004">
      <c r="B13" s="15"/>
      <c r="C13" s="16"/>
      <c r="D13" s="16"/>
      <c r="E13" s="16"/>
      <c r="F13" s="16"/>
      <c r="G13" s="16"/>
      <c r="H13" s="16"/>
      <c r="I13" s="16"/>
      <c r="J13" s="16"/>
      <c r="K13" s="16"/>
      <c r="L13" s="16"/>
      <c r="M13" s="16"/>
      <c r="N13" s="16"/>
      <c r="O13" s="16"/>
      <c r="P13" s="16"/>
      <c r="Q13" s="16"/>
    </row>
    <row r="14" spans="2:18" ht="18" x14ac:dyDescent="0.55000000000000004">
      <c r="B14" s="17" t="s">
        <v>59</v>
      </c>
      <c r="C14" s="18">
        <f>'segments '!C9</f>
        <v>645104</v>
      </c>
      <c r="D14" s="18">
        <f>'segments '!D9</f>
        <v>438710</v>
      </c>
      <c r="E14" s="18">
        <f>'segments '!E9</f>
        <v>455726</v>
      </c>
      <c r="F14" s="18">
        <f>'segments '!F9</f>
        <v>476577</v>
      </c>
      <c r="G14" s="18">
        <f>'segments '!G9</f>
        <v>447081</v>
      </c>
      <c r="H14" s="19">
        <f>'segments '!J9</f>
        <v>469285.78</v>
      </c>
      <c r="I14" s="126">
        <v>475000</v>
      </c>
      <c r="J14" s="20">
        <f t="shared" ref="J14:Q14" si="0">I14+(I14*J15)</f>
        <v>485450</v>
      </c>
      <c r="K14" s="20">
        <f t="shared" si="0"/>
        <v>496129.9</v>
      </c>
      <c r="L14" s="20">
        <f t="shared" si="0"/>
        <v>507044.75780000002</v>
      </c>
      <c r="M14" s="20">
        <f t="shared" si="0"/>
        <v>518199.74247160001</v>
      </c>
      <c r="N14" s="20">
        <f t="shared" si="0"/>
        <v>529600.13680597523</v>
      </c>
      <c r="O14" s="20">
        <f t="shared" si="0"/>
        <v>541251.33981570671</v>
      </c>
      <c r="P14" s="20">
        <f t="shared" si="0"/>
        <v>553158.86929165223</v>
      </c>
      <c r="Q14" s="20">
        <f t="shared" si="0"/>
        <v>565328.36441606854</v>
      </c>
    </row>
    <row r="15" spans="2:18" ht="18" x14ac:dyDescent="0.55000000000000004">
      <c r="B15" s="15" t="s">
        <v>27</v>
      </c>
      <c r="C15" s="21" t="s">
        <v>28</v>
      </c>
      <c r="D15" s="21">
        <f>(D14-C14)/C14</f>
        <v>-0.31993911059302066</v>
      </c>
      <c r="E15" s="21">
        <f>(E14-D14)/D14</f>
        <v>3.8786442068792594E-2</v>
      </c>
      <c r="F15" s="21">
        <f>(F14-E14)/E14</f>
        <v>4.5753369349126452E-2</v>
      </c>
      <c r="G15" s="21">
        <f>(G14-F14)/F14</f>
        <v>-6.1891362780830801E-2</v>
      </c>
      <c r="H15" s="21">
        <f>(H14-G14)/G14</f>
        <v>4.9666123140996887E-2</v>
      </c>
      <c r="I15" s="21">
        <f t="shared" ref="I15" si="1">(I14-H14)/H14</f>
        <v>1.2176418386254899E-2</v>
      </c>
      <c r="J15" s="23">
        <v>2.1999999999999999E-2</v>
      </c>
      <c r="K15" s="23">
        <v>2.1999999999999999E-2</v>
      </c>
      <c r="L15" s="23">
        <v>2.1999999999999999E-2</v>
      </c>
      <c r="M15" s="23">
        <v>2.1999999999999999E-2</v>
      </c>
      <c r="N15" s="23">
        <v>2.1999999999999999E-2</v>
      </c>
      <c r="O15" s="23">
        <v>2.1999999999999999E-2</v>
      </c>
      <c r="P15" s="23">
        <v>2.1999999999999999E-2</v>
      </c>
      <c r="Q15" s="23">
        <v>2.1999999999999999E-2</v>
      </c>
    </row>
    <row r="16" spans="2:18" ht="18" x14ac:dyDescent="0.55000000000000004">
      <c r="B16" s="15" t="s">
        <v>29</v>
      </c>
      <c r="C16" s="21">
        <f t="shared" ref="C16:Q16" si="2">C14/C30</f>
        <v>0.3255516327441042</v>
      </c>
      <c r="D16" s="21">
        <f t="shared" si="2"/>
        <v>0.2443299152801014</v>
      </c>
      <c r="E16" s="21">
        <f t="shared" si="2"/>
        <v>0.20966096852596552</v>
      </c>
      <c r="F16" s="21">
        <f t="shared" si="2"/>
        <v>0.19525146496877915</v>
      </c>
      <c r="G16" s="21">
        <f t="shared" si="2"/>
        <v>0.18886538238944506</v>
      </c>
      <c r="H16" s="21">
        <f t="shared" si="2"/>
        <v>0.19664001702500769</v>
      </c>
      <c r="I16" s="21">
        <f>I14/I30</f>
        <v>0.17201353996084143</v>
      </c>
      <c r="J16" s="21">
        <f t="shared" si="2"/>
        <v>0.15940362573524597</v>
      </c>
      <c r="K16" s="21">
        <f t="shared" si="2"/>
        <v>0.14814677155266817</v>
      </c>
      <c r="L16" s="21">
        <f t="shared" si="2"/>
        <v>0.13811342814020588</v>
      </c>
      <c r="M16" s="21">
        <f t="shared" si="2"/>
        <v>0.12918355665821746</v>
      </c>
      <c r="N16" s="21">
        <f t="shared" si="2"/>
        <v>0.12124724840571834</v>
      </c>
      <c r="O16" s="21">
        <f t="shared" si="2"/>
        <v>0.11420482657106669</v>
      </c>
      <c r="P16" s="21">
        <f t="shared" si="2"/>
        <v>0.1079665911520971</v>
      </c>
      <c r="Q16" s="21">
        <f t="shared" si="2"/>
        <v>0.10245233164653209</v>
      </c>
    </row>
    <row r="17" spans="2:17" ht="18" x14ac:dyDescent="0.55000000000000004">
      <c r="B17" s="15"/>
      <c r="C17" s="16"/>
      <c r="D17" s="16"/>
      <c r="E17" s="16"/>
      <c r="F17" s="16"/>
      <c r="G17" s="16"/>
      <c r="H17" s="16"/>
      <c r="I17" s="16"/>
      <c r="J17" s="16"/>
      <c r="K17" s="16"/>
      <c r="L17" s="16"/>
      <c r="M17" s="16"/>
      <c r="N17" s="16"/>
      <c r="O17" s="16"/>
      <c r="P17" s="16"/>
      <c r="Q17" s="16"/>
    </row>
    <row r="18" spans="2:17" ht="18" x14ac:dyDescent="0.55000000000000004">
      <c r="B18" s="17" t="s">
        <v>60</v>
      </c>
      <c r="C18" s="18">
        <f>'segments '!C22</f>
        <v>1092631</v>
      </c>
      <c r="D18" s="18">
        <f>'segments '!D22</f>
        <v>1119268</v>
      </c>
      <c r="E18" s="18">
        <f>'segments '!E22</f>
        <v>1450291</v>
      </c>
      <c r="F18" s="18">
        <f>'segments '!F22</f>
        <v>1650075</v>
      </c>
      <c r="G18" s="18">
        <f>'segments '!G22</f>
        <v>1557321</v>
      </c>
      <c r="H18" s="24">
        <f>'segments '!J22</f>
        <v>1432234.476</v>
      </c>
      <c r="I18" s="127">
        <v>1755000</v>
      </c>
      <c r="J18" s="25">
        <f t="shared" ref="J18:Q18" si="3">I18+(I18*J19)</f>
        <v>1948050</v>
      </c>
      <c r="K18" s="25">
        <f t="shared" si="3"/>
        <v>2151203.7857142859</v>
      </c>
      <c r="L18" s="25">
        <f t="shared" si="3"/>
        <v>2363251.0160204084</v>
      </c>
      <c r="M18" s="25">
        <f t="shared" si="3"/>
        <v>2582695.7532223035</v>
      </c>
      <c r="N18" s="25">
        <f t="shared" si="3"/>
        <v>2807759.2402888183</v>
      </c>
      <c r="O18" s="25">
        <f t="shared" si="3"/>
        <v>3036391.064140908</v>
      </c>
      <c r="P18" s="25">
        <f t="shared" si="3"/>
        <v>3266289.244711577</v>
      </c>
      <c r="Q18" s="25">
        <f t="shared" si="3"/>
        <v>3494929.4918413875</v>
      </c>
    </row>
    <row r="19" spans="2:17" ht="18" x14ac:dyDescent="0.55000000000000004">
      <c r="B19" s="15" t="s">
        <v>27</v>
      </c>
      <c r="C19" s="21" t="s">
        <v>28</v>
      </c>
      <c r="D19" s="21">
        <f>(D18-C18)/C18</f>
        <v>2.4378770142893622E-2</v>
      </c>
      <c r="E19" s="21">
        <f>(E18-D18)/D18</f>
        <v>0.29574954345161303</v>
      </c>
      <c r="F19" s="21">
        <f>(F18-E18)/E18</f>
        <v>0.13775442307785127</v>
      </c>
      <c r="G19" s="21">
        <f>(G18-F18)/F18</f>
        <v>-5.6211990364074357E-2</v>
      </c>
      <c r="H19" s="21">
        <f>(H18-G18)/G18</f>
        <v>-8.0321606142856855E-2</v>
      </c>
      <c r="I19" s="21">
        <f t="shared" ref="I19" si="4">(I18-H18)/H18</f>
        <v>0.22535801882205214</v>
      </c>
      <c r="J19" s="23">
        <v>0.11</v>
      </c>
      <c r="K19" s="23">
        <f>$J19+($Q19-$J19)/7*1</f>
        <v>0.10428571428571429</v>
      </c>
      <c r="L19" s="23">
        <f>$J19+($Q19-$J19)/7*2</f>
        <v>9.8571428571428574E-2</v>
      </c>
      <c r="M19" s="23">
        <f>$J19+($Q19-$J19)/7*3</f>
        <v>9.285714285714286E-2</v>
      </c>
      <c r="N19" s="23">
        <f>$J19+($Q19-$J19)/7*4</f>
        <v>8.7142857142857147E-2</v>
      </c>
      <c r="O19" s="23">
        <f>$J19+($Q19-$J19)/7*5</f>
        <v>8.1428571428571433E-2</v>
      </c>
      <c r="P19" s="23">
        <f>$J19+($Q19-$J19)/7*6</f>
        <v>7.571428571428572E-2</v>
      </c>
      <c r="Q19" s="23">
        <v>7.0000000000000007E-2</v>
      </c>
    </row>
    <row r="20" spans="2:17" ht="18" x14ac:dyDescent="0.55000000000000004">
      <c r="B20" s="15" t="s">
        <v>29</v>
      </c>
      <c r="C20" s="21">
        <f>C18/C30</f>
        <v>0.55139606332749957</v>
      </c>
      <c r="D20" s="21">
        <f>D18/D30</f>
        <v>0.62335177136543174</v>
      </c>
      <c r="E20" s="21">
        <f>E18/E30</f>
        <v>0.66721981125608598</v>
      </c>
      <c r="F20" s="21">
        <f>F18/F30</f>
        <v>0.67602834601409267</v>
      </c>
      <c r="G20" s="21">
        <f>G18/G30</f>
        <v>0.6578763717718108</v>
      </c>
      <c r="H20" s="21">
        <f t="shared" ref="H20:Q20" si="5">H18/H30</f>
        <v>0.60013455286125006</v>
      </c>
      <c r="I20" s="21">
        <f t="shared" si="5"/>
        <v>0.6355447634342668</v>
      </c>
      <c r="J20" s="21">
        <f t="shared" si="5"/>
        <v>0.63966676921113585</v>
      </c>
      <c r="K20" s="21">
        <f t="shared" si="5"/>
        <v>0.64235978481734168</v>
      </c>
      <c r="L20" s="21">
        <f t="shared" si="5"/>
        <v>0.64372364442656949</v>
      </c>
      <c r="M20" s="21">
        <f t="shared" si="5"/>
        <v>0.6438479138874067</v>
      </c>
      <c r="N20" s="21">
        <f t="shared" si="5"/>
        <v>0.64281154480794767</v>
      </c>
      <c r="O20" s="21">
        <f t="shared" si="5"/>
        <v>0.64068296810170045</v>
      </c>
      <c r="P20" s="21">
        <f t="shared" si="5"/>
        <v>0.63752049374143283</v>
      </c>
      <c r="Q20" s="21">
        <f t="shared" si="5"/>
        <v>0.63337291725885014</v>
      </c>
    </row>
    <row r="21" spans="2:17" ht="18" x14ac:dyDescent="0.55000000000000004">
      <c r="B21" s="15"/>
      <c r="C21" s="16"/>
      <c r="D21" s="16"/>
      <c r="E21" s="16"/>
      <c r="F21" s="16"/>
      <c r="G21" s="16"/>
      <c r="H21" s="16"/>
      <c r="I21" s="16"/>
      <c r="J21" s="16"/>
      <c r="K21" s="16"/>
      <c r="L21" s="16"/>
      <c r="M21" s="16"/>
      <c r="N21" s="16"/>
      <c r="O21" s="16"/>
      <c r="P21" s="16"/>
      <c r="Q21" s="16"/>
    </row>
    <row r="22" spans="2:17" ht="18" x14ac:dyDescent="0.55000000000000004">
      <c r="B22" s="17" t="s">
        <v>61</v>
      </c>
      <c r="C22" s="18">
        <f>'segments '!C35</f>
        <v>243837</v>
      </c>
      <c r="D22" s="18">
        <f>'segments '!D35</f>
        <v>237586</v>
      </c>
      <c r="E22" s="18">
        <f>'segments '!E35</f>
        <v>267616</v>
      </c>
      <c r="F22" s="18">
        <f>'segments '!F35</f>
        <v>314185</v>
      </c>
      <c r="G22" s="18">
        <f>'segments '!G35</f>
        <v>359743</v>
      </c>
      <c r="H22" s="127">
        <f>'segments '!J35</f>
        <v>418272.07500000001</v>
      </c>
      <c r="I22" s="127">
        <v>450000</v>
      </c>
      <c r="J22" s="25">
        <f t="shared" ref="J22:Q22" si="6">I22+(I22*J23)</f>
        <v>513000</v>
      </c>
      <c r="K22" s="25">
        <f t="shared" si="6"/>
        <v>581888.57142857148</v>
      </c>
      <c r="L22" s="25">
        <f t="shared" si="6"/>
        <v>656702.81632653065</v>
      </c>
      <c r="M22" s="25">
        <f t="shared" si="6"/>
        <v>737383.44804664725</v>
      </c>
      <c r="N22" s="25">
        <f t="shared" si="6"/>
        <v>823762.65196068306</v>
      </c>
      <c r="O22" s="25">
        <f t="shared" si="6"/>
        <v>915553.34746487346</v>
      </c>
      <c r="P22" s="25">
        <f t="shared" si="6"/>
        <v>1012340.4156254458</v>
      </c>
      <c r="Q22" s="25">
        <f t="shared" si="6"/>
        <v>1113574.4571879904</v>
      </c>
    </row>
    <row r="23" spans="2:17" ht="18" x14ac:dyDescent="0.55000000000000004">
      <c r="B23" s="15" t="s">
        <v>27</v>
      </c>
      <c r="C23" s="21" t="s">
        <v>28</v>
      </c>
      <c r="D23" s="21">
        <f t="shared" ref="D23:I23" si="7">(D22-C22)/C22</f>
        <v>-2.5635978132933068E-2</v>
      </c>
      <c r="E23" s="21">
        <f t="shared" si="7"/>
        <v>0.12639633648447299</v>
      </c>
      <c r="F23" s="21">
        <f t="shared" si="7"/>
        <v>0.17401425923711586</v>
      </c>
      <c r="G23" s="21">
        <f t="shared" si="7"/>
        <v>0.14500373983481071</v>
      </c>
      <c r="H23" s="128">
        <f t="shared" si="7"/>
        <v>0.16269691140619835</v>
      </c>
      <c r="I23" s="26">
        <f t="shared" si="7"/>
        <v>7.5854753153195772E-2</v>
      </c>
      <c r="J23" s="129">
        <v>0.14000000000000001</v>
      </c>
      <c r="K23" s="129">
        <f>$J23+($Q23-$J23)/7*1</f>
        <v>0.13428571428571429</v>
      </c>
      <c r="L23" s="129">
        <f>$J23+($Q23-$J23)/7*2</f>
        <v>0.12857142857142859</v>
      </c>
      <c r="M23" s="129">
        <f>$J23+($Q23-$J23)/7*3</f>
        <v>0.12285714285714286</v>
      </c>
      <c r="N23" s="129">
        <f>$J23+($Q23-$J23)/7*4</f>
        <v>0.11714285714285716</v>
      </c>
      <c r="O23" s="129">
        <f>$J23+($Q23-$J23)/7*5</f>
        <v>0.11142857142857143</v>
      </c>
      <c r="P23" s="129">
        <f>$J23+($Q23-$J23)/7*6</f>
        <v>0.10571428571428572</v>
      </c>
      <c r="Q23" s="129">
        <v>0.1</v>
      </c>
    </row>
    <row r="24" spans="2:17" ht="18" x14ac:dyDescent="0.55000000000000004">
      <c r="B24" s="15" t="s">
        <v>29</v>
      </c>
      <c r="C24" s="21">
        <f>C22/C30</f>
        <v>0.12305230392839624</v>
      </c>
      <c r="D24" s="21">
        <f>D22/D30</f>
        <v>0.13231831335446689</v>
      </c>
      <c r="E24" s="21">
        <f>E22/E30</f>
        <v>0.12311922021794848</v>
      </c>
      <c r="F24" s="21">
        <f>F22/F30</f>
        <v>0.12872018901712814</v>
      </c>
      <c r="G24" s="21">
        <f>G22/G30</f>
        <v>0.15197022297285309</v>
      </c>
      <c r="H24" s="21">
        <f t="shared" ref="H24:Q24" si="8">H22/H30</f>
        <v>0.17526426636896025</v>
      </c>
      <c r="I24" s="21">
        <f t="shared" si="8"/>
        <v>0.16296019575237608</v>
      </c>
      <c r="J24" s="21">
        <f t="shared" si="8"/>
        <v>0.16845001545407598</v>
      </c>
      <c r="K24" s="21">
        <f t="shared" si="8"/>
        <v>0.17375472282669724</v>
      </c>
      <c r="L24" s="21">
        <f t="shared" si="8"/>
        <v>0.17887864106063955</v>
      </c>
      <c r="M24" s="21">
        <f t="shared" si="8"/>
        <v>0.1838245152057103</v>
      </c>
      <c r="N24" s="21">
        <f t="shared" si="8"/>
        <v>0.18859314405015343</v>
      </c>
      <c r="O24" s="21">
        <f t="shared" si="8"/>
        <v>0.19318309918528384</v>
      </c>
      <c r="P24" s="21">
        <f t="shared" si="8"/>
        <v>0.19759051120438392</v>
      </c>
      <c r="Q24" s="21">
        <f t="shared" si="8"/>
        <v>0.20180890749887195</v>
      </c>
    </row>
    <row r="25" spans="2:17" ht="18" x14ac:dyDescent="0.55000000000000004">
      <c r="B25" s="15"/>
      <c r="C25" s="21"/>
      <c r="D25" s="21"/>
      <c r="E25" s="21"/>
      <c r="F25" s="21"/>
      <c r="G25" s="21"/>
      <c r="H25" s="21"/>
      <c r="I25" s="21"/>
      <c r="J25" s="21"/>
      <c r="K25" s="21"/>
      <c r="L25" s="21"/>
      <c r="M25" s="21"/>
      <c r="N25" s="21"/>
      <c r="O25" s="21"/>
      <c r="P25" s="21"/>
      <c r="Q25" s="21"/>
    </row>
    <row r="26" spans="2:17" ht="18" x14ac:dyDescent="0.55000000000000004">
      <c r="B26" s="17" t="s">
        <v>62</v>
      </c>
      <c r="C26" s="21"/>
      <c r="D26" s="21"/>
      <c r="E26" s="21"/>
      <c r="F26" s="21"/>
      <c r="G26" s="131">
        <f>'segments '!G48</f>
        <v>3049</v>
      </c>
      <c r="H26" s="45">
        <f>'segments '!J48</f>
        <v>66729.94</v>
      </c>
      <c r="I26" s="130">
        <f>H26+H26*I27</f>
        <v>81410.526800000007</v>
      </c>
      <c r="J26" s="130">
        <f t="shared" ref="J26:Q26" si="9">I26+I26*J27</f>
        <v>98913.790062000015</v>
      </c>
      <c r="K26" s="130">
        <f t="shared" si="9"/>
        <v>119685.68597502002</v>
      </c>
      <c r="L26" s="130">
        <f t="shared" si="9"/>
        <v>144221.25159989911</v>
      </c>
      <c r="M26" s="130">
        <f t="shared" si="9"/>
        <v>173065.50191987894</v>
      </c>
      <c r="N26" s="130">
        <f t="shared" si="9"/>
        <v>206813.27479425533</v>
      </c>
      <c r="O26" s="130">
        <f t="shared" si="9"/>
        <v>246107.79700516385</v>
      </c>
      <c r="P26" s="130">
        <f t="shared" si="9"/>
        <v>291637.73945111915</v>
      </c>
      <c r="Q26" s="130">
        <f t="shared" si="9"/>
        <v>344132.53255232063</v>
      </c>
    </row>
    <row r="27" spans="2:17" ht="18" x14ac:dyDescent="0.55000000000000004">
      <c r="B27" s="15" t="s">
        <v>27</v>
      </c>
      <c r="C27" s="21"/>
      <c r="D27" s="21"/>
      <c r="E27" s="21"/>
      <c r="F27" s="21"/>
      <c r="G27" s="21" t="s">
        <v>28</v>
      </c>
      <c r="H27" s="41">
        <f>(H26-G26)/G26</f>
        <v>20.88584453919318</v>
      </c>
      <c r="I27" s="190">
        <v>0.22</v>
      </c>
      <c r="J27" s="190">
        <f>$I27+($Q27-$I27)/8*1</f>
        <v>0.215</v>
      </c>
      <c r="K27" s="190">
        <f>$I27+($Q27-$I27)/8*2</f>
        <v>0.21</v>
      </c>
      <c r="L27" s="190">
        <f>$I27+($Q27-$I27)/8*3</f>
        <v>0.20499999999999999</v>
      </c>
      <c r="M27" s="190">
        <f>$I27+($Q27-$I27)/8*4</f>
        <v>0.2</v>
      </c>
      <c r="N27" s="190">
        <f>$I27+($Q27-$I27)/8*5</f>
        <v>0.19500000000000001</v>
      </c>
      <c r="O27" s="190">
        <f>$I27+($Q27-$I27)/8*6</f>
        <v>0.19</v>
      </c>
      <c r="P27" s="190">
        <f>$I27+($Q27-$I27)/8*7</f>
        <v>0.185</v>
      </c>
      <c r="Q27" s="190">
        <v>0.18</v>
      </c>
    </row>
    <row r="28" spans="2:17" ht="18" x14ac:dyDescent="0.55000000000000004">
      <c r="B28" s="15" t="s">
        <v>29</v>
      </c>
      <c r="C28" s="21"/>
      <c r="D28" s="21"/>
      <c r="E28" s="21"/>
      <c r="F28" s="21"/>
      <c r="G28" s="21"/>
      <c r="H28" s="21">
        <f>H26/H30</f>
        <v>2.7961163744781997E-2</v>
      </c>
      <c r="I28" s="21">
        <f t="shared" ref="I28:Q28" si="10">I26/I30</f>
        <v>2.9481500852515691E-2</v>
      </c>
      <c r="J28" s="21">
        <f t="shared" si="10"/>
        <v>3.2479589599542162E-2</v>
      </c>
      <c r="K28" s="21">
        <f t="shared" si="10"/>
        <v>3.5738720803292996E-2</v>
      </c>
      <c r="L28" s="21">
        <f t="shared" si="10"/>
        <v>3.9284286372585034E-2</v>
      </c>
      <c r="M28" s="21">
        <f t="shared" si="10"/>
        <v>4.3144014248665541E-2</v>
      </c>
      <c r="N28" s="21">
        <f t="shared" si="10"/>
        <v>4.7348062736180641E-2</v>
      </c>
      <c r="O28" s="21">
        <f t="shared" si="10"/>
        <v>5.1929106141949156E-2</v>
      </c>
      <c r="P28" s="21">
        <f t="shared" si="10"/>
        <v>5.6922403902086312E-2</v>
      </c>
      <c r="Q28" s="21">
        <f t="shared" si="10"/>
        <v>6.2365843595745867E-2</v>
      </c>
    </row>
    <row r="29" spans="2:17" ht="18" x14ac:dyDescent="0.55000000000000004">
      <c r="B29" s="15"/>
      <c r="C29" s="16"/>
      <c r="D29" s="16"/>
      <c r="E29" s="16"/>
      <c r="F29" s="16"/>
      <c r="G29" s="16"/>
      <c r="H29" s="16"/>
      <c r="I29" s="16"/>
      <c r="J29" s="16"/>
      <c r="K29" s="16"/>
      <c r="L29" s="16"/>
      <c r="M29" s="16"/>
      <c r="N29" s="16"/>
      <c r="O29" s="16"/>
      <c r="P29" s="16"/>
      <c r="Q29" s="16"/>
    </row>
    <row r="30" spans="2:17" ht="18" x14ac:dyDescent="0.55000000000000004">
      <c r="B30" s="27" t="s">
        <v>30</v>
      </c>
      <c r="C30" s="28">
        <f>C14+C18+C22</f>
        <v>1981572</v>
      </c>
      <c r="D30" s="28">
        <f t="shared" ref="D30:F30" si="11">D14+D18+D22</f>
        <v>1795564</v>
      </c>
      <c r="E30" s="28">
        <f t="shared" si="11"/>
        <v>2173633</v>
      </c>
      <c r="F30" s="28">
        <f t="shared" si="11"/>
        <v>2440837</v>
      </c>
      <c r="G30" s="191">
        <f>G14+G18+G22+G26</f>
        <v>2367194</v>
      </c>
      <c r="H30" s="29">
        <f>H14+H18+H22+H26</f>
        <v>2386522.2710000002</v>
      </c>
      <c r="I30" s="29">
        <f t="shared" ref="I30:Q30" si="12">I14+I18+I22+I26</f>
        <v>2761410.5268000001</v>
      </c>
      <c r="J30" s="29">
        <f t="shared" si="12"/>
        <v>3045413.790062</v>
      </c>
      <c r="K30" s="29">
        <f t="shared" si="12"/>
        <v>3348907.943117877</v>
      </c>
      <c r="L30" s="29">
        <f t="shared" si="12"/>
        <v>3671219.8417468383</v>
      </c>
      <c r="M30" s="29">
        <f t="shared" si="12"/>
        <v>4011344.4456604295</v>
      </c>
      <c r="N30" s="29">
        <f t="shared" si="12"/>
        <v>4367935.3038497316</v>
      </c>
      <c r="O30" s="29">
        <f t="shared" si="12"/>
        <v>4739303.5484266514</v>
      </c>
      <c r="P30" s="29">
        <f t="shared" si="12"/>
        <v>5123426.2690797932</v>
      </c>
      <c r="Q30" s="29">
        <f t="shared" si="12"/>
        <v>5517964.8459977666</v>
      </c>
    </row>
    <row r="31" spans="2:17" ht="18" x14ac:dyDescent="0.55000000000000004">
      <c r="B31" s="30" t="s">
        <v>27</v>
      </c>
      <c r="C31" s="31" t="s">
        <v>28</v>
      </c>
      <c r="D31" s="31">
        <f>(D30-C30)/C30</f>
        <v>-9.3868908119412259E-2</v>
      </c>
      <c r="E31" s="31">
        <f>(E30-D30)/D30</f>
        <v>0.21055723995357448</v>
      </c>
      <c r="F31" s="31">
        <f>(F30-E30)/E30</f>
        <v>0.12292967580083666</v>
      </c>
      <c r="G31" s="31">
        <f>(G30-F30)/F30</f>
        <v>-3.0171207663600642E-2</v>
      </c>
      <c r="H31" s="31">
        <f>(H30-G30)/G30</f>
        <v>8.1650557579987879E-3</v>
      </c>
      <c r="I31" s="31">
        <f t="shared" ref="I31:Q31" si="13">(I30-H30)/H30</f>
        <v>0.15708558866409167</v>
      </c>
      <c r="J31" s="31">
        <f t="shared" si="13"/>
        <v>0.10284717194553136</v>
      </c>
      <c r="K31" s="31">
        <f t="shared" si="13"/>
        <v>9.9656130160787865E-2</v>
      </c>
      <c r="L31" s="31">
        <f t="shared" si="13"/>
        <v>9.6243881319975827E-2</v>
      </c>
      <c r="M31" s="31">
        <f t="shared" si="13"/>
        <v>9.2646209863518639E-2</v>
      </c>
      <c r="N31" s="31">
        <f t="shared" si="13"/>
        <v>8.8895596730684825E-2</v>
      </c>
      <c r="O31" s="31">
        <f t="shared" si="13"/>
        <v>8.5021461799035816E-2</v>
      </c>
      <c r="P31" s="31">
        <f t="shared" si="13"/>
        <v>8.1050457462397085E-2</v>
      </c>
      <c r="Q31" s="31">
        <f t="shared" si="13"/>
        <v>7.7006783390060479E-2</v>
      </c>
    </row>
    <row r="32" spans="2:17" ht="18" x14ac:dyDescent="0.55000000000000004">
      <c r="B32" s="15"/>
      <c r="C32" s="16"/>
      <c r="D32" s="16"/>
      <c r="E32" s="16"/>
      <c r="F32" s="16"/>
      <c r="G32" s="16"/>
      <c r="H32" s="16"/>
      <c r="I32" s="16"/>
      <c r="J32" s="16"/>
      <c r="K32" s="16"/>
      <c r="L32" s="16"/>
      <c r="M32" s="16"/>
      <c r="N32" s="16"/>
      <c r="O32" s="16"/>
      <c r="P32" s="16"/>
      <c r="Q32" s="16"/>
    </row>
    <row r="33" spans="2:17" ht="18" x14ac:dyDescent="0.55000000000000004">
      <c r="B33" s="13" t="s">
        <v>31</v>
      </c>
      <c r="C33" s="14" t="s">
        <v>12</v>
      </c>
      <c r="D33" s="14" t="s">
        <v>13</v>
      </c>
      <c r="E33" s="14" t="s">
        <v>14</v>
      </c>
      <c r="F33" s="14" t="s">
        <v>15</v>
      </c>
      <c r="G33" s="14" t="s">
        <v>16</v>
      </c>
      <c r="H33" s="14" t="s">
        <v>17</v>
      </c>
      <c r="I33" s="14" t="s">
        <v>18</v>
      </c>
      <c r="J33" s="14" t="s">
        <v>19</v>
      </c>
      <c r="K33" s="14" t="s">
        <v>20</v>
      </c>
      <c r="L33" s="14" t="s">
        <v>21</v>
      </c>
      <c r="M33" s="14" t="s">
        <v>22</v>
      </c>
      <c r="N33" s="14" t="s">
        <v>23</v>
      </c>
      <c r="O33" s="14" t="s">
        <v>24</v>
      </c>
      <c r="P33" s="14" t="s">
        <v>25</v>
      </c>
      <c r="Q33" s="14" t="s">
        <v>26</v>
      </c>
    </row>
    <row r="34" spans="2:17" ht="18" x14ac:dyDescent="0.55000000000000004">
      <c r="B34" s="15"/>
      <c r="C34" s="16"/>
      <c r="D34" s="16"/>
      <c r="E34" s="16"/>
      <c r="F34" s="16"/>
      <c r="G34" s="16"/>
      <c r="H34" s="16"/>
      <c r="I34" s="16"/>
      <c r="J34" s="16"/>
      <c r="K34" s="16"/>
      <c r="L34" s="16"/>
      <c r="M34" s="16"/>
      <c r="N34" s="16"/>
      <c r="O34" s="16"/>
      <c r="P34" s="16"/>
      <c r="Q34" s="16"/>
    </row>
    <row r="35" spans="2:17" ht="18" x14ac:dyDescent="0.55000000000000004">
      <c r="B35" s="17" t="s">
        <v>59</v>
      </c>
      <c r="C35" s="18">
        <f>'segments '!C16</f>
        <v>57217</v>
      </c>
      <c r="D35" s="18">
        <f>'segments '!D16</f>
        <v>26703</v>
      </c>
      <c r="E35" s="18">
        <f>'segments '!E16</f>
        <v>65690</v>
      </c>
      <c r="F35" s="18">
        <f>'segments '!F16</f>
        <v>93522</v>
      </c>
      <c r="G35" s="18">
        <f>'segments '!G16</f>
        <v>108717</v>
      </c>
      <c r="H35" s="20">
        <f>H14*H36</f>
        <v>136141.87</v>
      </c>
      <c r="I35" s="20">
        <f t="shared" ref="I35:Q35" si="14">I14*I36</f>
        <v>138849.63588356192</v>
      </c>
      <c r="J35" s="20">
        <f t="shared" si="14"/>
        <v>142977.47438887521</v>
      </c>
      <c r="K35" s="20">
        <f t="shared" si="14"/>
        <v>147219.7345646547</v>
      </c>
      <c r="L35" s="20">
        <f t="shared" si="14"/>
        <v>151579.45309056426</v>
      </c>
      <c r="M35" s="20">
        <f t="shared" si="14"/>
        <v>156059.74488008453</v>
      </c>
      <c r="N35" s="20">
        <f t="shared" si="14"/>
        <v>160663.80505304786</v>
      </c>
      <c r="O35" s="20">
        <f t="shared" si="14"/>
        <v>165394.91095709967</v>
      </c>
      <c r="P35" s="20">
        <f t="shared" si="14"/>
        <v>170256.42423928401</v>
      </c>
      <c r="Q35" s="20">
        <f t="shared" si="14"/>
        <v>175251.79296898126</v>
      </c>
    </row>
    <row r="36" spans="2:17" ht="18" x14ac:dyDescent="0.55000000000000004">
      <c r="B36" s="15" t="s">
        <v>32</v>
      </c>
      <c r="C36" s="21">
        <f>C35/C14</f>
        <v>8.8694226047272992E-2</v>
      </c>
      <c r="D36" s="21">
        <f t="shared" ref="D36:G36" si="15">D35/D14</f>
        <v>6.0867087597729706E-2</v>
      </c>
      <c r="E36" s="21">
        <f t="shared" si="15"/>
        <v>0.14414363016373874</v>
      </c>
      <c r="F36" s="21">
        <f t="shared" si="15"/>
        <v>0.19623691449650318</v>
      </c>
      <c r="G36" s="21">
        <f t="shared" si="15"/>
        <v>0.24317070061129861</v>
      </c>
      <c r="H36" s="23">
        <f>'segments '!J17</f>
        <v>0.29010440077685712</v>
      </c>
      <c r="I36" s="23">
        <f>$H36+($Q36-$H36)/9*1</f>
        <v>0.2923150229127619</v>
      </c>
      <c r="J36" s="23">
        <f>$H36+($Q36-$H36)/9*2</f>
        <v>0.29452564504866663</v>
      </c>
      <c r="K36" s="23">
        <f>$H36+($Q36-$H36)/9*3</f>
        <v>0.29673626718457141</v>
      </c>
      <c r="L36" s="23">
        <f>$H36+($Q36-$H36)/9*4</f>
        <v>0.29894688932047619</v>
      </c>
      <c r="M36" s="23">
        <f>$H36+($Q36-$H36)/9*5</f>
        <v>0.30115751145638092</v>
      </c>
      <c r="N36" s="23">
        <f>$H36+($Q36-$H36)/9*6</f>
        <v>0.3033681335922857</v>
      </c>
      <c r="O36" s="23">
        <f>$H36+($Q36-$H36)/9*7</f>
        <v>0.30557875572819049</v>
      </c>
      <c r="P36" s="23">
        <f>$H36+($Q36-$H36)/9*8</f>
        <v>0.30778937786409521</v>
      </c>
      <c r="Q36" s="23">
        <f>31%</f>
        <v>0.31</v>
      </c>
    </row>
    <row r="37" spans="2:17" ht="18" x14ac:dyDescent="0.55000000000000004">
      <c r="B37" s="15" t="s">
        <v>33</v>
      </c>
      <c r="C37" s="21">
        <f>C35/C55</f>
        <v>-0.46213553024796056</v>
      </c>
      <c r="D37" s="21">
        <f t="shared" ref="D37:G37" si="16">D35/D55</f>
        <v>-1.6961824302864765</v>
      </c>
      <c r="E37" s="21">
        <f t="shared" si="16"/>
        <v>0.51567676196756318</v>
      </c>
      <c r="F37" s="21">
        <f t="shared" si="16"/>
        <v>0.32868826243889065</v>
      </c>
      <c r="G37" s="21">
        <f t="shared" si="16"/>
        <v>0.31763798438061513</v>
      </c>
      <c r="H37" s="22">
        <f>H35/H55</f>
        <v>0.37600013268435922</v>
      </c>
      <c r="I37" s="22">
        <f>I35/I55</f>
        <v>0.31840634892539244</v>
      </c>
      <c r="J37" s="22">
        <f>J35/J55</f>
        <v>0.28981236115742132</v>
      </c>
      <c r="K37" s="22">
        <f>K35/K55</f>
        <v>0.26461205735113691</v>
      </c>
      <c r="L37" s="22">
        <f>L35/L55</f>
        <v>0.24299990742068536</v>
      </c>
      <c r="M37" s="22">
        <f t="shared" ref="M37:Q37" si="17">M35/M55</f>
        <v>0.22394015969153266</v>
      </c>
      <c r="N37" s="22">
        <f t="shared" si="17"/>
        <v>0.20712913876698982</v>
      </c>
      <c r="O37" s="22">
        <f t="shared" si="17"/>
        <v>0.19229782411195326</v>
      </c>
      <c r="P37" s="22">
        <f t="shared" si="17"/>
        <v>0.17920906931687353</v>
      </c>
      <c r="Q37" s="22">
        <f t="shared" si="17"/>
        <v>0.16765458724843282</v>
      </c>
    </row>
    <row r="38" spans="2:17" ht="18" x14ac:dyDescent="0.55000000000000004">
      <c r="B38" s="15"/>
      <c r="C38" s="16"/>
      <c r="D38" s="16"/>
      <c r="E38" s="16"/>
      <c r="F38" s="16"/>
      <c r="G38" s="16"/>
      <c r="H38" s="16"/>
      <c r="I38" s="16"/>
      <c r="J38" s="16"/>
      <c r="K38" s="16"/>
      <c r="L38" s="16"/>
      <c r="M38" s="16"/>
      <c r="N38" s="16"/>
      <c r="O38" s="16"/>
      <c r="P38" s="16"/>
      <c r="Q38" s="16"/>
    </row>
    <row r="39" spans="2:17" ht="18" x14ac:dyDescent="0.55000000000000004">
      <c r="B39" s="17" t="s">
        <v>60</v>
      </c>
      <c r="C39" s="18">
        <f>'segments '!C29</f>
        <v>254434</v>
      </c>
      <c r="D39" s="18">
        <f>'segments '!D29</f>
        <v>248268</v>
      </c>
      <c r="E39" s="18">
        <f>'segments '!E29</f>
        <v>368921</v>
      </c>
      <c r="F39" s="18">
        <f>'segments '!F29</f>
        <v>456662</v>
      </c>
      <c r="G39" s="18">
        <f>'segments '!G29</f>
        <v>472400</v>
      </c>
      <c r="H39" s="32">
        <f>H18*H40</f>
        <v>461280.97200000001</v>
      </c>
      <c r="I39" s="32">
        <f>I18*I40</f>
        <v>572630.52264020499</v>
      </c>
      <c r="J39" s="32">
        <f>J18*J40</f>
        <v>643829.64511429903</v>
      </c>
      <c r="K39" s="32">
        <f>K18*K40</f>
        <v>720037.80572247331</v>
      </c>
      <c r="L39" s="32">
        <f>L18*L40</f>
        <v>800972.52834286971</v>
      </c>
      <c r="M39" s="32">
        <f t="shared" ref="M39:Q39" si="18">M18*M40</f>
        <v>886232.93329748628</v>
      </c>
      <c r="N39" s="32">
        <f t="shared" si="18"/>
        <v>975294.68402533676</v>
      </c>
      <c r="O39" s="32">
        <f t="shared" si="18"/>
        <v>1067507.9522751756</v>
      </c>
      <c r="P39" s="32">
        <f t="shared" si="18"/>
        <v>1162098.8412360891</v>
      </c>
      <c r="Q39" s="32">
        <f t="shared" si="18"/>
        <v>1258174.6170628995</v>
      </c>
    </row>
    <row r="40" spans="2:17" ht="18" x14ac:dyDescent="0.55000000000000004">
      <c r="B40" s="15" t="s">
        <v>34</v>
      </c>
      <c r="C40" s="21">
        <f>C39/C18</f>
        <v>0.23286361086222154</v>
      </c>
      <c r="D40" s="21">
        <f t="shared" ref="D40:G40" si="19">D39/D18</f>
        <v>0.22181282766951257</v>
      </c>
      <c r="E40" s="21">
        <f t="shared" si="19"/>
        <v>0.2543772249845031</v>
      </c>
      <c r="F40" s="21">
        <f t="shared" si="19"/>
        <v>0.27675226883626503</v>
      </c>
      <c r="G40" s="21">
        <f t="shared" si="19"/>
        <v>0.30334144341468455</v>
      </c>
      <c r="H40" s="23">
        <f>'segments '!J30</f>
        <v>0.3220708478462852</v>
      </c>
      <c r="I40" s="22">
        <f>$H40+($Q40-$H40)/9*1</f>
        <v>0.32628519808558687</v>
      </c>
      <c r="J40" s="22">
        <f>$H40+($Q40-$H40)/9*2</f>
        <v>0.33049954832488848</v>
      </c>
      <c r="K40" s="22">
        <f>$H40+($Q40-$H40)/9*3</f>
        <v>0.33471389856419015</v>
      </c>
      <c r="L40" s="22">
        <f>$H40+($Q40-$H40)/9*4</f>
        <v>0.33892824880349176</v>
      </c>
      <c r="M40" s="22">
        <f>$H40+($Q40-$H40)/9*5</f>
        <v>0.34314259904279343</v>
      </c>
      <c r="N40" s="22">
        <f>$H40+($Q40-$H40)/9*6</f>
        <v>0.34735694928209504</v>
      </c>
      <c r="O40" s="22">
        <f>$H40+($Q40-$H40)/9*7</f>
        <v>0.35157129952139671</v>
      </c>
      <c r="P40" s="22">
        <f>$H40+($Q40-$H40)/9*8</f>
        <v>0.35578564976069837</v>
      </c>
      <c r="Q40" s="23">
        <v>0.36</v>
      </c>
    </row>
    <row r="41" spans="2:17" ht="18" x14ac:dyDescent="0.55000000000000004">
      <c r="B41" s="15" t="s">
        <v>33</v>
      </c>
      <c r="C41" s="21">
        <f t="shared" ref="C41:Q41" si="20">C39/C51</f>
        <v>0.70230925080462181</v>
      </c>
      <c r="D41" s="21">
        <f t="shared" si="20"/>
        <v>0.77289566587177561</v>
      </c>
      <c r="E41" s="21">
        <f t="shared" si="20"/>
        <v>0.7607293017731469</v>
      </c>
      <c r="F41" s="21">
        <f t="shared" si="20"/>
        <v>0.75868313413544131</v>
      </c>
      <c r="G41" s="21">
        <f t="shared" si="20"/>
        <v>0.71793313069908815</v>
      </c>
      <c r="H41" s="22">
        <f t="shared" si="20"/>
        <v>0.65084570606737024</v>
      </c>
      <c r="I41" s="22">
        <f t="shared" si="20"/>
        <v>0.68398787197457822</v>
      </c>
      <c r="J41" s="22">
        <f t="shared" si="20"/>
        <v>0.6880610499674209</v>
      </c>
      <c r="K41" s="22">
        <f t="shared" si="20"/>
        <v>0.6904741184066675</v>
      </c>
      <c r="L41" s="22">
        <f t="shared" si="20"/>
        <v>0.69224909382453881</v>
      </c>
      <c r="M41" s="22">
        <f t="shared" si="20"/>
        <v>0.6926067207614468</v>
      </c>
      <c r="N41" s="22">
        <f t="shared" si="20"/>
        <v>0.69162599045428186</v>
      </c>
      <c r="O41" s="22">
        <f t="shared" si="20"/>
        <v>0.68937318351704457</v>
      </c>
      <c r="P41" s="22">
        <f t="shared" si="20"/>
        <v>0.685902468733115</v>
      </c>
      <c r="Q41" s="22">
        <f t="shared" si="20"/>
        <v>0.68125676608003471</v>
      </c>
    </row>
    <row r="42" spans="2:17" ht="18" x14ac:dyDescent="0.55000000000000004">
      <c r="B42" s="15"/>
      <c r="C42" s="16"/>
      <c r="D42" s="16"/>
      <c r="E42" s="16"/>
      <c r="F42" s="16"/>
      <c r="G42" s="16"/>
      <c r="H42" s="16"/>
      <c r="I42" s="16"/>
      <c r="J42" s="16"/>
      <c r="K42" s="16"/>
      <c r="L42" s="16"/>
      <c r="M42" s="16"/>
      <c r="N42" s="16"/>
      <c r="O42" s="16"/>
      <c r="P42" s="16"/>
      <c r="Q42" s="16"/>
    </row>
    <row r="43" spans="2:17" ht="18" x14ac:dyDescent="0.55000000000000004">
      <c r="B43" s="17" t="s">
        <v>61</v>
      </c>
      <c r="C43" s="33">
        <f>'segments '!C42</f>
        <v>50631</v>
      </c>
      <c r="D43" s="33">
        <f>'segments '!D42</f>
        <v>46247</v>
      </c>
      <c r="E43" s="33">
        <f>'segments '!E42</f>
        <v>50346</v>
      </c>
      <c r="F43" s="33">
        <f>'segments '!F42</f>
        <v>51730</v>
      </c>
      <c r="G43" s="33">
        <f>'segments '!G42</f>
        <v>76992</v>
      </c>
      <c r="H43" s="34">
        <f>H22*H44</f>
        <v>93300.975000000006</v>
      </c>
      <c r="I43" s="34">
        <f t="shared" ref="I43:Q43" si="21">I22*I44</f>
        <v>102918.86495171832</v>
      </c>
      <c r="J43" s="34">
        <f t="shared" si="21"/>
        <v>120223.75302247945</v>
      </c>
      <c r="K43" s="34">
        <f t="shared" si="21"/>
        <v>139653.25714285715</v>
      </c>
      <c r="L43" s="34">
        <f t="shared" si="21"/>
        <v>159797.68530612244</v>
      </c>
      <c r="M43" s="34">
        <f t="shared" si="21"/>
        <v>181887.91718483967</v>
      </c>
      <c r="N43" s="34">
        <f t="shared" si="21"/>
        <v>205940.66299017076</v>
      </c>
      <c r="O43" s="34">
        <f t="shared" si="21"/>
        <v>231940.18135776796</v>
      </c>
      <c r="P43" s="34">
        <f t="shared" si="21"/>
        <v>259834.04001053108</v>
      </c>
      <c r="Q43" s="34">
        <f t="shared" si="21"/>
        <v>289529.35886887752</v>
      </c>
    </row>
    <row r="44" spans="2:17" ht="18" x14ac:dyDescent="0.55000000000000004">
      <c r="B44" s="15" t="s">
        <v>34</v>
      </c>
      <c r="C44" s="21">
        <f>C43/C22</f>
        <v>0.20764281056607486</v>
      </c>
      <c r="D44" s="21">
        <f t="shared" ref="D44:G44" si="22">D43/D22</f>
        <v>0.19465372538785955</v>
      </c>
      <c r="E44" s="21">
        <f t="shared" si="22"/>
        <v>0.18812776515604449</v>
      </c>
      <c r="F44" s="21">
        <f t="shared" si="22"/>
        <v>0.16464821681493388</v>
      </c>
      <c r="G44" s="21">
        <f t="shared" si="22"/>
        <v>0.21401945277600953</v>
      </c>
      <c r="H44" s="26">
        <f>'segments '!J43</f>
        <v>0.22306288317239442</v>
      </c>
      <c r="I44" s="26">
        <f>$H44+($K44-$H44)/3*1</f>
        <v>0.22870858878159628</v>
      </c>
      <c r="J44" s="26">
        <f>$H44+($K44-$H44)/3*2</f>
        <v>0.23435429439079813</v>
      </c>
      <c r="K44" s="26">
        <v>0.24</v>
      </c>
      <c r="L44" s="26">
        <f>$K44+($Q44-$K44)/6*1</f>
        <v>0.24333333333333332</v>
      </c>
      <c r="M44" s="26">
        <f>$K44+($Q44-$K44)/6*2</f>
        <v>0.24666666666666667</v>
      </c>
      <c r="N44" s="26">
        <f>$K44+($Q44-$K44)/6*3</f>
        <v>0.25</v>
      </c>
      <c r="O44" s="26">
        <f>$K44+($Q44-$K44)/6*4</f>
        <v>0.25333333333333335</v>
      </c>
      <c r="P44" s="26">
        <f>$K44+($Q44-$K44)/6*5</f>
        <v>0.25666666666666665</v>
      </c>
      <c r="Q44" s="26">
        <v>0.26</v>
      </c>
    </row>
    <row r="45" spans="2:17" ht="18" x14ac:dyDescent="0.55000000000000004">
      <c r="B45" s="15" t="s">
        <v>33</v>
      </c>
      <c r="C45" s="21">
        <f t="shared" ref="C45:Q45" si="23">C43/C51</f>
        <v>0.1397557703667309</v>
      </c>
      <c r="D45" s="21">
        <f t="shared" si="23"/>
        <v>0.14397387444041118</v>
      </c>
      <c r="E45" s="21">
        <f t="shared" si="23"/>
        <v>0.10381538981806634</v>
      </c>
      <c r="F45" s="21">
        <f t="shared" si="23"/>
        <v>8.5942510059576621E-2</v>
      </c>
      <c r="G45" s="21">
        <f t="shared" si="23"/>
        <v>0.11700911854103344</v>
      </c>
      <c r="H45" s="21">
        <f t="shared" si="23"/>
        <v>0.1316432773876679</v>
      </c>
      <c r="I45" s="21">
        <f t="shared" si="23"/>
        <v>0.12293311767559331</v>
      </c>
      <c r="J45" s="21">
        <f t="shared" si="23"/>
        <v>0.12848318241230658</v>
      </c>
      <c r="K45" s="21">
        <f t="shared" si="23"/>
        <v>0.13391930096167773</v>
      </c>
      <c r="L45" s="21">
        <f t="shared" si="23"/>
        <v>0.13810686251285439</v>
      </c>
      <c r="M45" s="21">
        <f t="shared" si="23"/>
        <v>0.14214862609403181</v>
      </c>
      <c r="N45" s="21">
        <f t="shared" si="23"/>
        <v>0.14604192696664806</v>
      </c>
      <c r="O45" s="21">
        <f t="shared" si="23"/>
        <v>0.14978187363133463</v>
      </c>
      <c r="P45" s="21">
        <f t="shared" si="23"/>
        <v>0.15336114552403665</v>
      </c>
      <c r="Q45" s="21">
        <f t="shared" si="23"/>
        <v>0.15676984103262717</v>
      </c>
    </row>
    <row r="46" spans="2:17" ht="18" x14ac:dyDescent="0.55000000000000004">
      <c r="B46" s="15"/>
      <c r="C46" s="16"/>
      <c r="D46" s="16"/>
      <c r="E46" s="16"/>
      <c r="F46" s="16"/>
      <c r="G46" s="16"/>
      <c r="H46" s="16"/>
      <c r="I46" s="16"/>
      <c r="J46" s="16"/>
      <c r="K46" s="16"/>
      <c r="L46" s="16"/>
      <c r="M46" s="16"/>
      <c r="N46" s="16"/>
      <c r="O46" s="16"/>
      <c r="P46" s="16"/>
      <c r="Q46" s="16"/>
    </row>
    <row r="47" spans="2:17" ht="18" x14ac:dyDescent="0.55000000000000004">
      <c r="B47" s="17" t="s">
        <v>62</v>
      </c>
      <c r="C47" s="16"/>
      <c r="D47" s="16"/>
      <c r="E47" s="16"/>
      <c r="F47" s="16"/>
      <c r="G47" s="25">
        <f>G26*G48</f>
        <v>-109.00000000000001</v>
      </c>
      <c r="H47" s="25">
        <f t="shared" ref="H47:Q47" si="24">H26*H48</f>
        <v>18017.0838</v>
      </c>
      <c r="I47" s="25">
        <f t="shared" si="24"/>
        <v>22794.947504000003</v>
      </c>
      <c r="J47" s="25">
        <f t="shared" si="24"/>
        <v>28684.999117980009</v>
      </c>
      <c r="K47" s="25">
        <f t="shared" si="24"/>
        <v>35905.705792506007</v>
      </c>
      <c r="L47" s="25">
        <f t="shared" si="24"/>
        <v>44708.587995968723</v>
      </c>
      <c r="M47" s="25">
        <f t="shared" si="24"/>
        <v>55380.960614361262</v>
      </c>
      <c r="N47" s="25">
        <f t="shared" si="24"/>
        <v>68248.380682104267</v>
      </c>
      <c r="O47" s="25">
        <f t="shared" si="24"/>
        <v>83676.650981755709</v>
      </c>
      <c r="P47" s="25">
        <f t="shared" si="24"/>
        <v>102073.2088078917</v>
      </c>
      <c r="Q47" s="25">
        <f t="shared" si="24"/>
        <v>123887.71171883542</v>
      </c>
    </row>
    <row r="48" spans="2:17" ht="18" x14ac:dyDescent="0.55000000000000004">
      <c r="B48" s="15" t="s">
        <v>29</v>
      </c>
      <c r="C48" s="16"/>
      <c r="D48" s="16"/>
      <c r="E48" s="16"/>
      <c r="F48" s="16"/>
      <c r="G48" s="132">
        <f>'segments '!G56</f>
        <v>-3.5749426041325028E-2</v>
      </c>
      <c r="H48" s="133">
        <f>27%</f>
        <v>0.27</v>
      </c>
      <c r="I48" s="133">
        <f>$H48+($Q48-$H48)/9*1</f>
        <v>0.28000000000000003</v>
      </c>
      <c r="J48" s="133">
        <f>$H48+($Q48-$H48)/9*2</f>
        <v>0.29000000000000004</v>
      </c>
      <c r="K48" s="133">
        <f>$H48+($Q48-$H48)/9*3</f>
        <v>0.3</v>
      </c>
      <c r="L48" s="133">
        <f>$H48+($Q48-$H48)/9*4</f>
        <v>0.31</v>
      </c>
      <c r="M48" s="133">
        <f>$H48+($Q48-$H48)/9*5</f>
        <v>0.32</v>
      </c>
      <c r="N48" s="133">
        <f>$H48+($Q48-$H48)/9*6</f>
        <v>0.33</v>
      </c>
      <c r="O48" s="133">
        <f>$H48+($Q48-$H48)/9*7</f>
        <v>0.33999999999999997</v>
      </c>
      <c r="P48" s="133">
        <f>$H48+($Q48-$H48)/9*8</f>
        <v>0.35</v>
      </c>
      <c r="Q48" s="133">
        <f>36%</f>
        <v>0.36</v>
      </c>
    </row>
    <row r="49" spans="2:17" ht="18" x14ac:dyDescent="0.55000000000000004">
      <c r="B49" s="15" t="s">
        <v>33</v>
      </c>
      <c r="C49" s="16"/>
      <c r="D49" s="16"/>
      <c r="E49" s="16"/>
      <c r="F49" s="16"/>
      <c r="G49" s="132">
        <f t="shared" ref="G49:Q49" si="25">G47/G51</f>
        <v>-1.6565349544072949E-4</v>
      </c>
      <c r="H49" s="132">
        <f t="shared" si="25"/>
        <v>2.542125589148728E-2</v>
      </c>
      <c r="I49" s="132">
        <f t="shared" si="25"/>
        <v>2.7227797014986593E-2</v>
      </c>
      <c r="J49" s="132">
        <f t="shared" si="25"/>
        <v>3.065567229034313E-2</v>
      </c>
      <c r="K49" s="132">
        <f t="shared" si="25"/>
        <v>3.4431470619759943E-2</v>
      </c>
      <c r="L49" s="132">
        <f t="shared" si="25"/>
        <v>3.8639876439227339E-2</v>
      </c>
      <c r="M49" s="132">
        <f t="shared" si="25"/>
        <v>4.3281200779813525E-2</v>
      </c>
      <c r="N49" s="132">
        <f t="shared" si="25"/>
        <v>4.8398042826751413E-2</v>
      </c>
      <c r="O49" s="132">
        <f t="shared" si="25"/>
        <v>5.403654291323539E-2</v>
      </c>
      <c r="P49" s="132">
        <f t="shared" si="25"/>
        <v>6.024639508148355E-2</v>
      </c>
      <c r="Q49" s="132">
        <f t="shared" si="25"/>
        <v>6.7080785685895053E-2</v>
      </c>
    </row>
    <row r="50" spans="2:17" ht="18" x14ac:dyDescent="0.55000000000000004">
      <c r="B50" s="15"/>
      <c r="C50" s="16"/>
      <c r="D50" s="16"/>
      <c r="E50" s="16"/>
      <c r="F50" s="16"/>
      <c r="G50" s="16"/>
      <c r="H50" s="16"/>
      <c r="I50" s="16"/>
      <c r="J50" s="16"/>
      <c r="K50" s="16"/>
      <c r="L50" s="16"/>
      <c r="M50" s="16"/>
      <c r="N50" s="16"/>
      <c r="O50" s="16"/>
      <c r="P50" s="16"/>
      <c r="Q50" s="16"/>
    </row>
    <row r="51" spans="2:17" ht="18" x14ac:dyDescent="0.55000000000000004">
      <c r="B51" s="15" t="s">
        <v>549</v>
      </c>
      <c r="C51" s="16">
        <f>'segments '!C63</f>
        <v>362282</v>
      </c>
      <c r="D51" s="16">
        <f>'segments '!D63</f>
        <v>321218</v>
      </c>
      <c r="E51" s="16">
        <f>'segments '!E63</f>
        <v>484957</v>
      </c>
      <c r="F51" s="16">
        <f>'segments '!F63</f>
        <v>601914</v>
      </c>
      <c r="G51" s="16">
        <f>'segments '!G63</f>
        <v>658000</v>
      </c>
      <c r="H51" s="20">
        <f t="shared" ref="H51:Q51" si="26">H35+H39+H43+H47</f>
        <v>708740.90079999994</v>
      </c>
      <c r="I51" s="20">
        <f t="shared" si="26"/>
        <v>837193.97097948531</v>
      </c>
      <c r="J51" s="20">
        <f t="shared" si="26"/>
        <v>935715.8716436337</v>
      </c>
      <c r="K51" s="20">
        <f t="shared" si="26"/>
        <v>1042816.5032224911</v>
      </c>
      <c r="L51" s="20">
        <f t="shared" si="26"/>
        <v>1157058.2547355252</v>
      </c>
      <c r="M51" s="20">
        <f t="shared" si="26"/>
        <v>1279561.5559767717</v>
      </c>
      <c r="N51" s="20">
        <f t="shared" si="26"/>
        <v>1410147.5327506596</v>
      </c>
      <c r="O51" s="20">
        <f t="shared" si="26"/>
        <v>1548519.6955717988</v>
      </c>
      <c r="P51" s="20">
        <f t="shared" si="26"/>
        <v>1694262.5142937959</v>
      </c>
      <c r="Q51" s="20">
        <f t="shared" si="26"/>
        <v>1846843.4806195935</v>
      </c>
    </row>
    <row r="52" spans="2:17" ht="18" x14ac:dyDescent="0.55000000000000004">
      <c r="B52" s="15" t="s">
        <v>550</v>
      </c>
      <c r="C52" s="16">
        <f>'segments '!C64</f>
        <v>0</v>
      </c>
      <c r="D52" s="16">
        <f>'segments '!D64</f>
        <v>0</v>
      </c>
      <c r="E52" s="16">
        <f>'segments '!E64</f>
        <v>0</v>
      </c>
      <c r="F52" s="16">
        <f>'segments '!F64</f>
        <v>0</v>
      </c>
      <c r="G52" s="16">
        <f>'segments '!G64</f>
        <v>-1078</v>
      </c>
      <c r="H52" s="16">
        <f>'segments '!H64</f>
        <v>0</v>
      </c>
      <c r="I52" s="16">
        <f>'segments '!I64</f>
        <v>0</v>
      </c>
      <c r="J52" s="16">
        <f>'segments '!J64</f>
        <v>0</v>
      </c>
      <c r="K52" s="16">
        <f>'segments '!K64</f>
        <v>0</v>
      </c>
      <c r="L52" s="16">
        <f>'segments '!L64</f>
        <v>0</v>
      </c>
      <c r="M52" s="16">
        <f>'segments '!M64</f>
        <v>0</v>
      </c>
      <c r="N52" s="16">
        <f>'segments '!N64</f>
        <v>0</v>
      </c>
      <c r="O52" s="16">
        <f>'segments '!O64</f>
        <v>0</v>
      </c>
      <c r="P52" s="16">
        <f>'segments '!P64</f>
        <v>0</v>
      </c>
      <c r="Q52" s="16">
        <f>'segments '!Q64</f>
        <v>0</v>
      </c>
    </row>
    <row r="53" spans="2:17" ht="18" x14ac:dyDescent="0.55000000000000004">
      <c r="B53" s="15" t="s">
        <v>227</v>
      </c>
      <c r="C53" s="25">
        <f>'segments '!C65</f>
        <v>-441581</v>
      </c>
      <c r="D53" s="25">
        <f>'segments '!D65</f>
        <v>-328657</v>
      </c>
      <c r="E53" s="25">
        <f>'segments '!E65</f>
        <v>-356090</v>
      </c>
      <c r="F53" s="25">
        <f>'segments '!F65</f>
        <v>-337804</v>
      </c>
      <c r="G53" s="25">
        <f>'segments '!G65</f>
        <v>-343854</v>
      </c>
      <c r="H53" s="127">
        <f t="shared" ref="H53:Q53" si="27">($G$53/$G$30)*H30</f>
        <v>-346661.58708261093</v>
      </c>
      <c r="I53" s="127">
        <f t="shared" si="27"/>
        <v>-401117.1265567111</v>
      </c>
      <c r="J53" s="127">
        <f t="shared" si="27"/>
        <v>-442370.88864198665</v>
      </c>
      <c r="K53" s="127">
        <f t="shared" si="27"/>
        <v>-486455.85949983587</v>
      </c>
      <c r="L53" s="127">
        <f t="shared" si="27"/>
        <v>-533274.25950894493</v>
      </c>
      <c r="M53" s="127">
        <f t="shared" si="27"/>
        <v>-582680.09847022314</v>
      </c>
      <c r="N53" s="127">
        <f t="shared" si="27"/>
        <v>-634477.79352682782</v>
      </c>
      <c r="O53" s="127">
        <f t="shared" si="27"/>
        <v>-688422.02301150549</v>
      </c>
      <c r="P53" s="127">
        <f t="shared" si="27"/>
        <v>-744218.94290377689</v>
      </c>
      <c r="Q53" s="127">
        <f t="shared" si="27"/>
        <v>-801528.84983474785</v>
      </c>
    </row>
    <row r="54" spans="2:17" ht="18" x14ac:dyDescent="0.55000000000000004">
      <c r="B54" s="15" t="s">
        <v>551</v>
      </c>
      <c r="C54" s="16">
        <f>'segments '!C67</f>
        <v>-44511</v>
      </c>
      <c r="D54" s="16">
        <f>'segments '!D67</f>
        <v>-8304</v>
      </c>
      <c r="E54" s="16">
        <f>'segments '!E67</f>
        <v>-1481</v>
      </c>
      <c r="F54" s="16">
        <f>'segments '!F67</f>
        <v>20421</v>
      </c>
      <c r="G54" s="16">
        <f>'segments '!G67</f>
        <v>29199</v>
      </c>
      <c r="H54" s="189">
        <v>0</v>
      </c>
      <c r="I54" s="189">
        <v>0</v>
      </c>
      <c r="J54" s="189">
        <v>0</v>
      </c>
      <c r="K54" s="189">
        <v>0</v>
      </c>
      <c r="L54" s="189">
        <v>0</v>
      </c>
      <c r="M54" s="189">
        <v>0</v>
      </c>
      <c r="N54" s="189">
        <v>0</v>
      </c>
      <c r="O54" s="189">
        <v>0</v>
      </c>
      <c r="P54" s="189">
        <v>0</v>
      </c>
      <c r="Q54" s="189">
        <v>0</v>
      </c>
    </row>
    <row r="55" spans="2:17" ht="18" x14ac:dyDescent="0.55000000000000004">
      <c r="B55" s="27" t="s">
        <v>231</v>
      </c>
      <c r="C55" s="35">
        <f t="shared" ref="C55:Q55" si="28">SUM(C51:C54)</f>
        <v>-123810</v>
      </c>
      <c r="D55" s="35">
        <f t="shared" si="28"/>
        <v>-15743</v>
      </c>
      <c r="E55" s="35">
        <f t="shared" si="28"/>
        <v>127386</v>
      </c>
      <c r="F55" s="35">
        <f t="shared" si="28"/>
        <v>284531</v>
      </c>
      <c r="G55" s="35">
        <f t="shared" si="28"/>
        <v>342267</v>
      </c>
      <c r="H55" s="36">
        <f t="shared" si="28"/>
        <v>362079.31371738901</v>
      </c>
      <c r="I55" s="36">
        <f t="shared" si="28"/>
        <v>436076.84442277421</v>
      </c>
      <c r="J55" s="36">
        <f t="shared" si="28"/>
        <v>493344.98300164705</v>
      </c>
      <c r="K55" s="36">
        <f t="shared" si="28"/>
        <v>556360.64372265525</v>
      </c>
      <c r="L55" s="36">
        <f t="shared" si="28"/>
        <v>623783.9952265803</v>
      </c>
      <c r="M55" s="36">
        <f t="shared" si="28"/>
        <v>696881.45750654861</v>
      </c>
      <c r="N55" s="36">
        <f t="shared" si="28"/>
        <v>775669.7392238318</v>
      </c>
      <c r="O55" s="36">
        <f t="shared" si="28"/>
        <v>860097.67256029334</v>
      </c>
      <c r="P55" s="36">
        <f t="shared" si="28"/>
        <v>950043.57139001903</v>
      </c>
      <c r="Q55" s="36">
        <f t="shared" si="28"/>
        <v>1045314.6307848457</v>
      </c>
    </row>
    <row r="56" spans="2:17" ht="18" x14ac:dyDescent="0.55000000000000004">
      <c r="B56" s="30" t="s">
        <v>35</v>
      </c>
      <c r="C56" s="31">
        <f>C55/C30</f>
        <v>-6.2480697143480028E-2</v>
      </c>
      <c r="D56" s="31">
        <f t="shared" ref="D56:G56" si="29">D55/D30</f>
        <v>-8.7677186666696369E-3</v>
      </c>
      <c r="E56" s="31">
        <f t="shared" si="29"/>
        <v>5.8605109510207108E-2</v>
      </c>
      <c r="F56" s="31">
        <f t="shared" si="29"/>
        <v>0.11657107787205782</v>
      </c>
      <c r="G56" s="31">
        <f t="shared" si="29"/>
        <v>0.14458764258442697</v>
      </c>
      <c r="H56" s="37">
        <f>H55/H30</f>
        <v>0.15171838876897242</v>
      </c>
      <c r="I56" s="37">
        <f>I55/I30</f>
        <v>0.15791815095603054</v>
      </c>
      <c r="J56" s="37">
        <f>J55/J30</f>
        <v>0.16199604290607855</v>
      </c>
      <c r="K56" s="37">
        <f>K55/K30</f>
        <v>0.16613196097730779</v>
      </c>
      <c r="L56" s="37">
        <f>L55/L30</f>
        <v>0.16991191541658579</v>
      </c>
      <c r="M56" s="37">
        <f t="shared" ref="M56:P56" si="30">M55/M30</f>
        <v>0.17372765339572172</v>
      </c>
      <c r="N56" s="37">
        <f t="shared" si="30"/>
        <v>0.17758269875018207</v>
      </c>
      <c r="O56" s="37">
        <f t="shared" si="30"/>
        <v>0.18148187044187697</v>
      </c>
      <c r="P56" s="37">
        <f t="shared" si="30"/>
        <v>0.18543129567875175</v>
      </c>
      <c r="Q56" s="37">
        <f>Q55/Q30</f>
        <v>0.18943843608264785</v>
      </c>
    </row>
    <row r="57" spans="2:17" ht="18" x14ac:dyDescent="0.55000000000000004">
      <c r="B57" s="15"/>
      <c r="C57" s="16"/>
      <c r="D57" s="16"/>
      <c r="E57" s="16"/>
      <c r="F57" s="16"/>
      <c r="G57" s="16"/>
      <c r="H57" s="16"/>
      <c r="I57" s="16"/>
      <c r="J57" s="16"/>
      <c r="K57" s="16"/>
      <c r="L57" s="16"/>
      <c r="M57" s="16"/>
      <c r="N57" s="16"/>
      <c r="O57" s="16"/>
      <c r="P57" s="16"/>
      <c r="Q57" s="16"/>
    </row>
    <row r="58" spans="2:17" ht="18" x14ac:dyDescent="0.55000000000000004">
      <c r="B58" s="13" t="s">
        <v>36</v>
      </c>
      <c r="C58" s="13"/>
      <c r="D58" s="13"/>
      <c r="E58" s="13"/>
      <c r="F58" s="13"/>
      <c r="G58" s="13"/>
      <c r="H58" s="13"/>
      <c r="I58" s="13"/>
      <c r="J58" s="13"/>
      <c r="K58" s="13"/>
      <c r="L58" s="13"/>
      <c r="M58" s="13"/>
      <c r="N58" s="13"/>
      <c r="O58" s="13"/>
      <c r="P58" s="13"/>
      <c r="Q58" s="13"/>
    </row>
    <row r="59" spans="2:17" ht="18" x14ac:dyDescent="0.55000000000000004">
      <c r="B59" s="38" t="s">
        <v>36</v>
      </c>
      <c r="C59" s="123">
        <f>is!C39</f>
        <v>45512</v>
      </c>
      <c r="D59" s="123">
        <f>is!D39</f>
        <v>6196</v>
      </c>
      <c r="E59" s="123">
        <f>is!E39</f>
        <v>-29068</v>
      </c>
      <c r="F59" s="123">
        <f>is!F39</f>
        <v>-43407</v>
      </c>
      <c r="G59" s="123">
        <f>is!G39</f>
        <v>-38932</v>
      </c>
      <c r="H59" s="40">
        <f>H55*H60</f>
        <v>79657.44901782558</v>
      </c>
      <c r="I59" s="40">
        <f t="shared" ref="I59:Q59" si="31">I55*I60</f>
        <v>95936.905773010323</v>
      </c>
      <c r="J59" s="40">
        <f t="shared" si="31"/>
        <v>108535.89626036235</v>
      </c>
      <c r="K59" s="40">
        <f t="shared" si="31"/>
        <v>122399.34161898415</v>
      </c>
      <c r="L59" s="40">
        <f t="shared" si="31"/>
        <v>137232.47894984766</v>
      </c>
      <c r="M59" s="40">
        <f t="shared" si="31"/>
        <v>153313.92065144068</v>
      </c>
      <c r="N59" s="40">
        <f t="shared" si="31"/>
        <v>170647.34262924301</v>
      </c>
      <c r="O59" s="40">
        <f t="shared" si="31"/>
        <v>189221.48796326455</v>
      </c>
      <c r="P59" s="40">
        <f t="shared" si="31"/>
        <v>209009.5857058042</v>
      </c>
      <c r="Q59" s="40">
        <f t="shared" si="31"/>
        <v>229969.21877266606</v>
      </c>
    </row>
    <row r="60" spans="2:17" ht="18" x14ac:dyDescent="0.55000000000000004">
      <c r="B60" s="3" t="s">
        <v>37</v>
      </c>
      <c r="C60" s="41">
        <f>-C59/is!C38</f>
        <v>0.36759550924804135</v>
      </c>
      <c r="D60" s="41">
        <f>-D59/is!D38</f>
        <v>0.39357174617290225</v>
      </c>
      <c r="E60" s="41">
        <f>-E59/is!E38</f>
        <v>0.22818834094798487</v>
      </c>
      <c r="F60" s="41">
        <f>-F59/is!F38</f>
        <v>0.15255631196600722</v>
      </c>
      <c r="G60" s="41">
        <f>-G59/is!G38</f>
        <v>0.11374745447267777</v>
      </c>
      <c r="H60" s="42">
        <v>0.22</v>
      </c>
      <c r="I60" s="42">
        <v>0.22</v>
      </c>
      <c r="J60" s="42">
        <v>0.22</v>
      </c>
      <c r="K60" s="42">
        <v>0.22</v>
      </c>
      <c r="L60" s="42">
        <v>0.22</v>
      </c>
      <c r="M60" s="42">
        <v>0.22</v>
      </c>
      <c r="N60" s="42">
        <v>0.22</v>
      </c>
      <c r="O60" s="42">
        <v>0.22</v>
      </c>
      <c r="P60" s="42">
        <v>0.22</v>
      </c>
      <c r="Q60" s="42">
        <v>0.22</v>
      </c>
    </row>
    <row r="61" spans="2:17" ht="18" x14ac:dyDescent="0.55000000000000004">
      <c r="B61" s="3"/>
      <c r="C61" s="39"/>
      <c r="D61" s="39"/>
      <c r="E61" s="39"/>
      <c r="F61" s="39"/>
      <c r="G61" s="39"/>
      <c r="H61" s="39"/>
      <c r="I61" s="39"/>
      <c r="J61" s="39"/>
      <c r="K61" s="39"/>
      <c r="L61" s="39"/>
      <c r="M61" s="39"/>
      <c r="N61" s="39"/>
      <c r="O61" s="39"/>
      <c r="P61" s="39"/>
      <c r="Q61" s="39"/>
    </row>
    <row r="62" spans="2:17" ht="18" x14ac:dyDescent="0.55000000000000004">
      <c r="B62" s="13" t="s">
        <v>38</v>
      </c>
      <c r="C62" s="14"/>
      <c r="D62" s="14"/>
      <c r="E62" s="14"/>
      <c r="F62" s="14"/>
      <c r="G62" s="14"/>
      <c r="H62" s="14"/>
      <c r="I62" s="14"/>
      <c r="J62" s="14"/>
      <c r="K62" s="14"/>
      <c r="L62" s="14"/>
      <c r="M62" s="14"/>
      <c r="N62" s="14"/>
      <c r="O62" s="14"/>
      <c r="P62" s="14"/>
      <c r="Q62" s="14"/>
    </row>
    <row r="63" spans="2:17" ht="18" x14ac:dyDescent="0.55000000000000004">
      <c r="B63" s="43" t="s">
        <v>39</v>
      </c>
      <c r="C63" s="44">
        <f>cf!C9</f>
        <v>84153</v>
      </c>
      <c r="D63" s="44">
        <f>cf!D9</f>
        <v>66763</v>
      </c>
      <c r="E63" s="44">
        <f>cf!E9</f>
        <v>55763</v>
      </c>
      <c r="F63" s="44">
        <f>cf!F9</f>
        <v>56277</v>
      </c>
      <c r="G63" s="44">
        <f>cf!G9</f>
        <v>49517</v>
      </c>
      <c r="H63" s="45">
        <f>H30*H64</f>
        <v>64436.101317000001</v>
      </c>
      <c r="I63" s="45">
        <f t="shared" ref="I63:K63" si="32">I30*I64</f>
        <v>77012.671358533335</v>
      </c>
      <c r="J63" s="45">
        <f t="shared" si="32"/>
        <v>87640.241291784216</v>
      </c>
      <c r="K63" s="45">
        <f t="shared" si="32"/>
        <v>99350.935645830352</v>
      </c>
      <c r="L63" s="45">
        <f>L30*L64</f>
        <v>112176.1618311534</v>
      </c>
      <c r="M63" s="45">
        <f t="shared" ref="M63:Q63" si="33">M30*M64</f>
        <v>126134.49756910019</v>
      </c>
      <c r="N63" s="45">
        <f t="shared" si="33"/>
        <v>141229.90815780801</v>
      </c>
      <c r="O63" s="45">
        <f t="shared" si="33"/>
        <v>157450.19566439654</v>
      </c>
      <c r="P63" s="45">
        <f t="shared" si="33"/>
        <v>174765.76273416629</v>
      </c>
      <c r="Q63" s="45">
        <f t="shared" si="33"/>
        <v>193128.76960992184</v>
      </c>
    </row>
    <row r="64" spans="2:17" ht="18" x14ac:dyDescent="0.55000000000000004">
      <c r="B64" s="3" t="s">
        <v>29</v>
      </c>
      <c r="C64" s="41">
        <f>C63/C30</f>
        <v>4.2467798293476092E-2</v>
      </c>
      <c r="D64" s="41">
        <f>D63/D30</f>
        <v>3.7182188994655717E-2</v>
      </c>
      <c r="E64" s="41">
        <f>E63/E30</f>
        <v>2.5654284784965998E-2</v>
      </c>
      <c r="F64" s="41">
        <f>F63/F30</f>
        <v>2.3056435149090251E-2</v>
      </c>
      <c r="G64" s="41">
        <f>G63/G30</f>
        <v>2.0918015169014453E-2</v>
      </c>
      <c r="H64" s="46">
        <v>2.7E-2</v>
      </c>
      <c r="I64" s="42">
        <f>$H64+($Q64-$H64)/9*1</f>
        <v>2.788888888888889E-2</v>
      </c>
      <c r="J64" s="42">
        <f>$H64+($Q64-$H64)/9*2</f>
        <v>2.8777777777777777E-2</v>
      </c>
      <c r="K64" s="42">
        <f>$H64+($Q64-$H64)/9*3</f>
        <v>2.9666666666666668E-2</v>
      </c>
      <c r="L64" s="42">
        <f>$H64+($Q64-$H64)/9*4</f>
        <v>3.0555555555555558E-2</v>
      </c>
      <c r="M64" s="42">
        <f>$H64+($Q64-$H64)/9*5</f>
        <v>3.1444444444444448E-2</v>
      </c>
      <c r="N64" s="42">
        <f>$H64+($Q64-$H64)/9*6</f>
        <v>3.2333333333333339E-2</v>
      </c>
      <c r="O64" s="42">
        <f>$H64+($Q64-$H64)/9*7</f>
        <v>3.3222222222222222E-2</v>
      </c>
      <c r="P64" s="42">
        <f>$H64+($Q64-$H64)/9*8</f>
        <v>3.4111111111111113E-2</v>
      </c>
      <c r="Q64" s="42">
        <v>3.5000000000000003E-2</v>
      </c>
    </row>
    <row r="65" spans="2:17" ht="18" x14ac:dyDescent="0.55000000000000004">
      <c r="B65" s="3" t="s">
        <v>40</v>
      </c>
      <c r="C65" s="41">
        <f>C63/C67</f>
        <v>2.4264171616400438</v>
      </c>
      <c r="D65" s="41">
        <f t="shared" ref="D65:G65" si="34">D63/D67</f>
        <v>3.3809186205499571</v>
      </c>
      <c r="E65" s="41">
        <f t="shared" si="34"/>
        <v>2.0742077071864307</v>
      </c>
      <c r="F65" s="41">
        <f t="shared" si="34"/>
        <v>1.8414043583535109</v>
      </c>
      <c r="G65" s="41">
        <f t="shared" si="34"/>
        <v>2.1631645624918092</v>
      </c>
      <c r="H65" s="41">
        <f>H63/H77</f>
        <v>1.4226143588814757</v>
      </c>
      <c r="I65" s="41">
        <f t="shared" ref="I65:Q65" si="35">I63/I77</f>
        <v>0.23028160608639514</v>
      </c>
      <c r="J65" s="41">
        <f t="shared" si="35"/>
        <v>0.33038092433676813</v>
      </c>
      <c r="K65" s="41">
        <f t="shared" si="35"/>
        <v>0.34902022510395658</v>
      </c>
      <c r="L65" s="41">
        <f t="shared" si="35"/>
        <v>0.36931667844089211</v>
      </c>
      <c r="M65" s="41">
        <f t="shared" si="35"/>
        <v>0.39142848451116524</v>
      </c>
      <c r="N65" s="41">
        <f t="shared" si="35"/>
        <v>0.41553867019359658</v>
      </c>
      <c r="O65" s="41">
        <f t="shared" si="35"/>
        <v>0.44185893163033008</v>
      </c>
      <c r="P65" s="41">
        <f t="shared" si="35"/>
        <v>0.47063416222459314</v>
      </c>
      <c r="Q65" s="41">
        <f t="shared" si="35"/>
        <v>0.50214780787726809</v>
      </c>
    </row>
    <row r="66" spans="2:17" ht="18" x14ac:dyDescent="0.55000000000000004">
      <c r="B66" s="3"/>
      <c r="C66" s="39"/>
      <c r="D66" s="39"/>
      <c r="E66" s="39"/>
      <c r="F66" s="39"/>
      <c r="G66" s="39"/>
      <c r="H66" s="39"/>
      <c r="I66" s="39"/>
      <c r="J66" s="39"/>
      <c r="K66" s="39"/>
      <c r="L66" s="39"/>
      <c r="M66" s="39"/>
      <c r="N66" s="39"/>
      <c r="O66" s="39"/>
      <c r="P66" s="39"/>
      <c r="Q66" s="39"/>
    </row>
    <row r="67" spans="2:17" ht="18" x14ac:dyDescent="0.55000000000000004">
      <c r="B67" s="43" t="s">
        <v>560</v>
      </c>
      <c r="C67" s="164">
        <f>-cf!C36</f>
        <v>34682</v>
      </c>
      <c r="D67" s="164">
        <f>-cf!D36</f>
        <v>19747</v>
      </c>
      <c r="E67" s="164">
        <f>-cf!E36</f>
        <v>26884</v>
      </c>
      <c r="F67" s="164">
        <f>-cf!F36</f>
        <v>30562</v>
      </c>
      <c r="G67" s="164">
        <f>-cf!G36</f>
        <v>22891</v>
      </c>
      <c r="H67" s="165">
        <f>H30*H68</f>
        <v>31024.789522999999</v>
      </c>
      <c r="I67" s="165">
        <f t="shared" ref="I67:Q67" si="36">I30*I68</f>
        <v>36205.160240266661</v>
      </c>
      <c r="J67" s="165">
        <f t="shared" si="36"/>
        <v>40267.13789081978</v>
      </c>
      <c r="K67" s="165">
        <f t="shared" si="36"/>
        <v>44652.105908238358</v>
      </c>
      <c r="L67" s="165">
        <f t="shared" si="36"/>
        <v>49357.511205707495</v>
      </c>
      <c r="M67" s="165">
        <f t="shared" si="36"/>
        <v>54376.002485619152</v>
      </c>
      <c r="N67" s="165">
        <f t="shared" si="36"/>
        <v>59695.115819279665</v>
      </c>
      <c r="O67" s="165">
        <f t="shared" si="36"/>
        <v>65297.071111656085</v>
      </c>
      <c r="P67" s="165">
        <f t="shared" si="36"/>
        <v>71158.6981816638</v>
      </c>
      <c r="Q67" s="165">
        <f t="shared" si="36"/>
        <v>77251.507843968735</v>
      </c>
    </row>
    <row r="68" spans="2:17" ht="18" x14ac:dyDescent="0.55000000000000004">
      <c r="B68" s="3" t="s">
        <v>29</v>
      </c>
      <c r="C68" s="166">
        <f>C67/C30</f>
        <v>1.7502265877798032E-2</v>
      </c>
      <c r="D68" s="166">
        <f>D67/D30</f>
        <v>1.0997658674377521E-2</v>
      </c>
      <c r="E68" s="166">
        <f>E67/E30</f>
        <v>1.2368233275810591E-2</v>
      </c>
      <c r="F68" s="166">
        <f>F67/F30</f>
        <v>1.2521114683200886E-2</v>
      </c>
      <c r="G68" s="166">
        <f>G67/G30</f>
        <v>9.6700988596625376E-3</v>
      </c>
      <c r="H68" s="167">
        <v>1.2999999999999999E-2</v>
      </c>
      <c r="I68" s="167">
        <f>$H68+($Q68-$H68)/9*1</f>
        <v>1.311111111111111E-2</v>
      </c>
      <c r="J68" s="167">
        <f>$H68+($Q68-$H68)/9*2</f>
        <v>1.3222222222222222E-2</v>
      </c>
      <c r="K68" s="167">
        <f>$H68+($Q68-$H68)/9*3</f>
        <v>1.3333333333333332E-2</v>
      </c>
      <c r="L68" s="167">
        <f>$H68+($Q68-$H68)/9*4</f>
        <v>1.3444444444444445E-2</v>
      </c>
      <c r="M68" s="167">
        <f>$H68+($Q68-$H68)/9*5</f>
        <v>1.3555555555555555E-2</v>
      </c>
      <c r="N68" s="167">
        <f>$H68+($Q68-$H68)/9*6</f>
        <v>1.3666666666666667E-2</v>
      </c>
      <c r="O68" s="167">
        <f>$H68+($Q68-$H68)/9*7</f>
        <v>1.3777777777777778E-2</v>
      </c>
      <c r="P68" s="167">
        <f>$H68+($Q68-$H68)/9*8</f>
        <v>1.388888888888889E-2</v>
      </c>
      <c r="Q68" s="167">
        <v>1.4E-2</v>
      </c>
    </row>
    <row r="69" spans="2:17" ht="18" x14ac:dyDescent="0.55000000000000004">
      <c r="B69" s="3"/>
      <c r="C69" s="168"/>
      <c r="D69" s="168"/>
      <c r="E69" s="168"/>
      <c r="F69" s="168"/>
      <c r="G69" s="168"/>
      <c r="H69" s="168"/>
      <c r="I69" s="168"/>
      <c r="J69" s="168"/>
      <c r="K69" s="168"/>
      <c r="L69" s="168"/>
      <c r="M69" s="168"/>
      <c r="N69" s="168"/>
      <c r="O69" s="168"/>
      <c r="P69" s="168"/>
      <c r="Q69" s="168"/>
    </row>
    <row r="70" spans="2:17" ht="18" x14ac:dyDescent="0.55000000000000004">
      <c r="B70" s="43" t="s">
        <v>557</v>
      </c>
      <c r="C70" s="169">
        <f>-cf!C32</f>
        <v>-89572</v>
      </c>
      <c r="D70" s="169">
        <f>-cf!D32</f>
        <v>94757</v>
      </c>
      <c r="E70" s="169">
        <f>-cf!E32</f>
        <v>43822</v>
      </c>
      <c r="F70" s="169">
        <f>-cf!F32</f>
        <v>89906</v>
      </c>
      <c r="G70" s="169">
        <f>-cf!G32</f>
        <v>91103</v>
      </c>
      <c r="H70" s="170">
        <f>(H30-G30)*H72</f>
        <v>4371.8574877664551</v>
      </c>
      <c r="I70" s="170">
        <f t="shared" ref="I70:Q70" si="37">(I30-H30)*I72</f>
        <v>84795.894479900468</v>
      </c>
      <c r="J70" s="170">
        <f t="shared" si="37"/>
        <v>64238.637436430319</v>
      </c>
      <c r="K70" s="170">
        <f t="shared" si="37"/>
        <v>68647.277634438273</v>
      </c>
      <c r="L70" s="170">
        <f t="shared" si="37"/>
        <v>72903.659484970689</v>
      </c>
      <c r="M70" s="170">
        <f t="shared" si="37"/>
        <v>76932.711487396853</v>
      </c>
      <c r="N70" s="170">
        <f t="shared" si="37"/>
        <v>80657.210023801483</v>
      </c>
      <c r="O70" s="170">
        <f t="shared" si="37"/>
        <v>83999.703893445811</v>
      </c>
      <c r="P70" s="170">
        <f t="shared" si="37"/>
        <v>86884.636111975284</v>
      </c>
      <c r="Q70" s="170">
        <f t="shared" si="37"/>
        <v>89240.59641504132</v>
      </c>
    </row>
    <row r="71" spans="2:17" ht="18" x14ac:dyDescent="0.55000000000000004">
      <c r="B71" s="3" t="s">
        <v>529</v>
      </c>
      <c r="C71" s="166" t="s">
        <v>28</v>
      </c>
      <c r="D71" s="166">
        <f>D70/(D30-C30)</f>
        <v>-0.50942432583544794</v>
      </c>
      <c r="E71" s="166">
        <f t="shared" ref="E71:Q71" si="38">E70/(E30-D30)</f>
        <v>0.1159100587458903</v>
      </c>
      <c r="F71" s="166">
        <f t="shared" si="38"/>
        <v>0.3364695139294322</v>
      </c>
      <c r="G71" s="166">
        <f t="shared" si="38"/>
        <v>-1.2370897437638337</v>
      </c>
      <c r="H71" s="166">
        <f t="shared" si="38"/>
        <v>0.22618978633766124</v>
      </c>
      <c r="I71" s="166">
        <f t="shared" si="38"/>
        <v>0.22618978633766121</v>
      </c>
      <c r="J71" s="166">
        <f t="shared" si="38"/>
        <v>0.22618978633766124</v>
      </c>
      <c r="K71" s="166">
        <f t="shared" si="38"/>
        <v>0.22618978633766126</v>
      </c>
      <c r="L71" s="166">
        <f t="shared" si="38"/>
        <v>0.22618978633766126</v>
      </c>
      <c r="M71" s="166">
        <f t="shared" si="38"/>
        <v>0.22618978633766121</v>
      </c>
      <c r="N71" s="166">
        <f t="shared" si="38"/>
        <v>0.22618978633766124</v>
      </c>
      <c r="O71" s="166">
        <f t="shared" si="38"/>
        <v>0.22618978633766121</v>
      </c>
      <c r="P71" s="166">
        <f t="shared" si="38"/>
        <v>0.22618978633766124</v>
      </c>
      <c r="Q71" s="166">
        <f t="shared" si="38"/>
        <v>0.22618978633766126</v>
      </c>
    </row>
    <row r="72" spans="2:17" ht="18" x14ac:dyDescent="0.55000000000000004">
      <c r="B72" s="3" t="s">
        <v>29</v>
      </c>
      <c r="C72" s="166">
        <f>C70/C30</f>
        <v>-4.5202495796266805E-2</v>
      </c>
      <c r="D72" s="166">
        <f>D70/D30</f>
        <v>5.2772833494099905E-2</v>
      </c>
      <c r="E72" s="166">
        <f>E70/E30</f>
        <v>2.0160717103577284E-2</v>
      </c>
      <c r="F72" s="166">
        <f>F70/F30</f>
        <v>3.6834086012298241E-2</v>
      </c>
      <c r="G72" s="166">
        <f>G70/G30</f>
        <v>3.8485650098808971E-2</v>
      </c>
      <c r="H72" s="171">
        <f>cf!$C$69</f>
        <v>0.22618978633766124</v>
      </c>
      <c r="I72" s="171">
        <f>cf!$C$69</f>
        <v>0.22618978633766124</v>
      </c>
      <c r="J72" s="171">
        <f>cf!$C$69</f>
        <v>0.22618978633766124</v>
      </c>
      <c r="K72" s="171">
        <f>cf!$C$69</f>
        <v>0.22618978633766124</v>
      </c>
      <c r="L72" s="171">
        <f>cf!$C$69</f>
        <v>0.22618978633766124</v>
      </c>
      <c r="M72" s="171">
        <f>cf!$C$69</f>
        <v>0.22618978633766124</v>
      </c>
      <c r="N72" s="171">
        <f>cf!$C$69</f>
        <v>0.22618978633766124</v>
      </c>
      <c r="O72" s="171">
        <f>cf!$C$69</f>
        <v>0.22618978633766124</v>
      </c>
      <c r="P72" s="171">
        <f>cf!$C$69</f>
        <v>0.22618978633766124</v>
      </c>
      <c r="Q72" s="171">
        <f>cf!$C$69</f>
        <v>0.22618978633766124</v>
      </c>
    </row>
    <row r="73" spans="2:17" ht="18" x14ac:dyDescent="0.55000000000000004">
      <c r="B73" s="3" t="s">
        <v>40</v>
      </c>
      <c r="C73" s="166">
        <f>C70/C67</f>
        <v>-2.5826653595525055</v>
      </c>
      <c r="D73" s="166">
        <f t="shared" ref="D73:G73" si="39">D70/D67</f>
        <v>4.7985516787360103</v>
      </c>
      <c r="E73" s="166">
        <f t="shared" si="39"/>
        <v>1.630040172593364</v>
      </c>
      <c r="F73" s="166">
        <f t="shared" si="39"/>
        <v>2.9417577383679077</v>
      </c>
      <c r="G73" s="166">
        <f t="shared" si="39"/>
        <v>3.9798610807741035</v>
      </c>
      <c r="H73" s="166">
        <f>H70/H67</f>
        <v>0.14091497653917717</v>
      </c>
      <c r="I73" s="166">
        <f t="shared" ref="I73:Q73" si="40">I70/I67</f>
        <v>2.3420941632953238</v>
      </c>
      <c r="J73" s="166">
        <f t="shared" si="40"/>
        <v>1.5953117306376927</v>
      </c>
      <c r="K73" s="166">
        <f t="shared" si="40"/>
        <v>1.5373805162854095</v>
      </c>
      <c r="L73" s="166">
        <f t="shared" si="40"/>
        <v>1.4770529895871334</v>
      </c>
      <c r="M73" s="166">
        <f t="shared" si="40"/>
        <v>1.4148283796283716</v>
      </c>
      <c r="N73" s="166">
        <f t="shared" si="40"/>
        <v>1.3511525845427996</v>
      </c>
      <c r="O73" s="166">
        <f t="shared" si="40"/>
        <v>1.2864237624044235</v>
      </c>
      <c r="P73" s="166">
        <f t="shared" si="40"/>
        <v>1.2209981117159301</v>
      </c>
      <c r="Q73" s="166">
        <f t="shared" si="40"/>
        <v>1.1551955282903725</v>
      </c>
    </row>
    <row r="74" spans="2:17" ht="18" x14ac:dyDescent="0.55000000000000004">
      <c r="C74" s="41"/>
      <c r="D74" s="41"/>
      <c r="E74" s="41"/>
      <c r="F74" s="41"/>
      <c r="G74" s="41"/>
      <c r="H74" s="41"/>
      <c r="I74" s="41"/>
      <c r="J74" s="41"/>
      <c r="K74" s="41"/>
      <c r="L74" s="41"/>
      <c r="M74" s="41"/>
      <c r="N74" s="41"/>
      <c r="O74" s="41"/>
      <c r="P74" s="41"/>
      <c r="Q74" s="41"/>
    </row>
    <row r="75" spans="2:17" ht="18" x14ac:dyDescent="0.55000000000000004">
      <c r="B75" s="43" t="s">
        <v>558</v>
      </c>
      <c r="C75" s="162"/>
      <c r="D75" s="41"/>
      <c r="E75" s="41"/>
      <c r="F75" s="41"/>
      <c r="G75" s="41"/>
      <c r="H75" s="163">
        <f>H30*$C$111</f>
        <v>29831.528387500002</v>
      </c>
      <c r="I75" s="163">
        <f t="shared" ref="I75:Q75" si="41">I30*$C$111</f>
        <v>34517.631585000003</v>
      </c>
      <c r="J75" s="163">
        <f t="shared" si="41"/>
        <v>38067.672375775001</v>
      </c>
      <c r="K75" s="163">
        <f t="shared" si="41"/>
        <v>41861.349288973463</v>
      </c>
      <c r="L75" s="163">
        <f t="shared" si="41"/>
        <v>45890.248021835483</v>
      </c>
      <c r="M75" s="163">
        <f t="shared" si="41"/>
        <v>50141.805570755372</v>
      </c>
      <c r="N75" s="163">
        <f t="shared" si="41"/>
        <v>54599.191298121645</v>
      </c>
      <c r="O75" s="163">
        <f t="shared" si="41"/>
        <v>59241.294355333142</v>
      </c>
      <c r="P75" s="163">
        <f t="shared" si="41"/>
        <v>64042.828363497421</v>
      </c>
      <c r="Q75" s="163">
        <f t="shared" si="41"/>
        <v>68974.560574972085</v>
      </c>
    </row>
    <row r="76" spans="2:17" ht="18" x14ac:dyDescent="0.55000000000000004">
      <c r="B76" s="43" t="s">
        <v>559</v>
      </c>
      <c r="C76" s="41"/>
      <c r="D76" s="41"/>
      <c r="E76" s="41"/>
      <c r="F76" s="41"/>
      <c r="G76" s="41"/>
      <c r="H76" s="163">
        <f>(H30-G30)/$C$110</f>
        <v>15462.616800000145</v>
      </c>
      <c r="I76" s="163">
        <f t="shared" ref="I76:Q76" si="42">(I30-H30)/$C$110</f>
        <v>299910.60463999992</v>
      </c>
      <c r="J76" s="163">
        <f t="shared" si="42"/>
        <v>227202.61060959994</v>
      </c>
      <c r="K76" s="163">
        <f t="shared" si="42"/>
        <v>242795.32244470157</v>
      </c>
      <c r="L76" s="163">
        <f t="shared" si="42"/>
        <v>257849.51890316902</v>
      </c>
      <c r="M76" s="163">
        <f t="shared" si="42"/>
        <v>272099.68313087302</v>
      </c>
      <c r="N76" s="163">
        <f t="shared" si="42"/>
        <v>285272.68655144161</v>
      </c>
      <c r="O76" s="163">
        <f t="shared" si="42"/>
        <v>297094.59566153586</v>
      </c>
      <c r="P76" s="163">
        <f t="shared" si="42"/>
        <v>307298.1765225135</v>
      </c>
      <c r="Q76" s="163">
        <f t="shared" si="42"/>
        <v>315630.86153437867</v>
      </c>
    </row>
    <row r="77" spans="2:17" ht="18" x14ac:dyDescent="0.55000000000000004">
      <c r="B77" s="43" t="s">
        <v>561</v>
      </c>
      <c r="C77" s="41"/>
      <c r="D77" s="41"/>
      <c r="E77" s="41"/>
      <c r="F77" s="41"/>
      <c r="G77" s="41"/>
      <c r="H77" s="163">
        <f>H75+H76</f>
        <v>45294.145187500151</v>
      </c>
      <c r="I77" s="163">
        <f t="shared" ref="I77:Q77" si="43">I75+I76</f>
        <v>334428.23622499994</v>
      </c>
      <c r="J77" s="163">
        <f t="shared" si="43"/>
        <v>265270.28298537491</v>
      </c>
      <c r="K77" s="163">
        <f t="shared" si="43"/>
        <v>284656.67173367506</v>
      </c>
      <c r="L77" s="163">
        <f t="shared" si="43"/>
        <v>303739.76692500449</v>
      </c>
      <c r="M77" s="163">
        <f t="shared" si="43"/>
        <v>322241.4887016284</v>
      </c>
      <c r="N77" s="163">
        <f t="shared" si="43"/>
        <v>339871.87784956326</v>
      </c>
      <c r="O77" s="163">
        <f t="shared" si="43"/>
        <v>356335.890016869</v>
      </c>
      <c r="P77" s="163">
        <f t="shared" si="43"/>
        <v>371341.00488601089</v>
      </c>
      <c r="Q77" s="163">
        <f t="shared" si="43"/>
        <v>384605.42210935074</v>
      </c>
    </row>
    <row r="78" spans="2:17" ht="18" x14ac:dyDescent="0.55000000000000004">
      <c r="B78" s="3"/>
      <c r="C78" s="3"/>
      <c r="D78" s="3"/>
      <c r="E78" s="3"/>
      <c r="F78" s="3"/>
      <c r="G78" s="3"/>
      <c r="H78" s="3"/>
      <c r="I78" s="3"/>
      <c r="J78" s="3"/>
      <c r="K78" s="3"/>
      <c r="L78" s="3"/>
      <c r="M78" s="3"/>
      <c r="N78" s="3"/>
      <c r="O78" s="3"/>
      <c r="P78" s="3"/>
      <c r="Q78" s="3"/>
    </row>
    <row r="79" spans="2:17" ht="18" x14ac:dyDescent="0.55000000000000004">
      <c r="B79" s="13" t="s">
        <v>42</v>
      </c>
      <c r="C79" s="14" t="s">
        <v>12</v>
      </c>
      <c r="D79" s="14" t="s">
        <v>13</v>
      </c>
      <c r="E79" s="14" t="s">
        <v>14</v>
      </c>
      <c r="F79" s="14" t="s">
        <v>15</v>
      </c>
      <c r="G79" s="14" t="s">
        <v>16</v>
      </c>
      <c r="H79" s="14" t="s">
        <v>17</v>
      </c>
      <c r="I79" s="14" t="s">
        <v>18</v>
      </c>
      <c r="J79" s="14" t="s">
        <v>19</v>
      </c>
      <c r="K79" s="14" t="s">
        <v>20</v>
      </c>
      <c r="L79" s="14" t="s">
        <v>21</v>
      </c>
      <c r="M79" s="14" t="s">
        <v>22</v>
      </c>
      <c r="N79" s="14" t="s">
        <v>23</v>
      </c>
      <c r="O79" s="14" t="s">
        <v>24</v>
      </c>
      <c r="P79" s="14" t="s">
        <v>25</v>
      </c>
      <c r="Q79" s="14" t="s">
        <v>26</v>
      </c>
    </row>
    <row r="80" spans="2:17" ht="18" x14ac:dyDescent="0.55000000000000004">
      <c r="B80" s="3"/>
      <c r="C80" s="3"/>
      <c r="D80" s="3"/>
      <c r="E80" s="3"/>
      <c r="F80" s="3"/>
      <c r="G80" s="3"/>
      <c r="H80" s="3"/>
      <c r="I80" s="3"/>
      <c r="J80" s="3"/>
      <c r="K80" s="3"/>
      <c r="L80" s="3"/>
    </row>
    <row r="81" spans="2:18" ht="18" x14ac:dyDescent="0.55000000000000004">
      <c r="B81" s="43" t="s">
        <v>43</v>
      </c>
      <c r="C81" s="47">
        <f t="shared" ref="C81:Q81" si="44">C30</f>
        <v>1981572</v>
      </c>
      <c r="D81" s="47">
        <f t="shared" si="44"/>
        <v>1795564</v>
      </c>
      <c r="E81" s="47">
        <f t="shared" si="44"/>
        <v>2173633</v>
      </c>
      <c r="F81" s="47">
        <f t="shared" si="44"/>
        <v>2440837</v>
      </c>
      <c r="G81" s="47">
        <f t="shared" si="44"/>
        <v>2367194</v>
      </c>
      <c r="H81" s="47">
        <f t="shared" si="44"/>
        <v>2386522.2710000002</v>
      </c>
      <c r="I81" s="47">
        <f t="shared" si="44"/>
        <v>2761410.5268000001</v>
      </c>
      <c r="J81" s="47">
        <f t="shared" si="44"/>
        <v>3045413.790062</v>
      </c>
      <c r="K81" s="47">
        <f t="shared" si="44"/>
        <v>3348907.943117877</v>
      </c>
      <c r="L81" s="47">
        <f t="shared" si="44"/>
        <v>3671219.8417468383</v>
      </c>
      <c r="M81" s="47">
        <f t="shared" si="44"/>
        <v>4011344.4456604295</v>
      </c>
      <c r="N81" s="47">
        <f t="shared" si="44"/>
        <v>4367935.3038497316</v>
      </c>
      <c r="O81" s="47">
        <f t="shared" si="44"/>
        <v>4739303.5484266514</v>
      </c>
      <c r="P81" s="47">
        <f t="shared" si="44"/>
        <v>5123426.2690797932</v>
      </c>
      <c r="Q81" s="47">
        <f t="shared" si="44"/>
        <v>5517964.8459977666</v>
      </c>
    </row>
    <row r="82" spans="2:18" ht="18" x14ac:dyDescent="0.55000000000000004">
      <c r="B82" s="3" t="s">
        <v>27</v>
      </c>
      <c r="C82" s="48" t="str">
        <f t="shared" ref="C82:Q82" si="45">C31</f>
        <v>na</v>
      </c>
      <c r="D82" s="48">
        <f t="shared" si="45"/>
        <v>-9.3868908119412259E-2</v>
      </c>
      <c r="E82" s="48">
        <f t="shared" si="45"/>
        <v>0.21055723995357448</v>
      </c>
      <c r="F82" s="48">
        <f t="shared" si="45"/>
        <v>0.12292967580083666</v>
      </c>
      <c r="G82" s="48">
        <f t="shared" si="45"/>
        <v>-3.0171207663600642E-2</v>
      </c>
      <c r="H82" s="48">
        <f t="shared" si="45"/>
        <v>8.1650557579987879E-3</v>
      </c>
      <c r="I82" s="48">
        <f t="shared" si="45"/>
        <v>0.15708558866409167</v>
      </c>
      <c r="J82" s="48">
        <f t="shared" si="45"/>
        <v>0.10284717194553136</v>
      </c>
      <c r="K82" s="48">
        <f t="shared" si="45"/>
        <v>9.9656130160787865E-2</v>
      </c>
      <c r="L82" s="48">
        <f t="shared" si="45"/>
        <v>9.6243881319975827E-2</v>
      </c>
      <c r="M82" s="48">
        <f t="shared" si="45"/>
        <v>9.2646209863518639E-2</v>
      </c>
      <c r="N82" s="48">
        <f t="shared" si="45"/>
        <v>8.8895596730684825E-2</v>
      </c>
      <c r="O82" s="48">
        <f t="shared" si="45"/>
        <v>8.5021461799035816E-2</v>
      </c>
      <c r="P82" s="48">
        <f t="shared" si="45"/>
        <v>8.1050457462397085E-2</v>
      </c>
      <c r="Q82" s="48">
        <f t="shared" si="45"/>
        <v>7.7006783390060479E-2</v>
      </c>
    </row>
    <row r="83" spans="2:18" ht="18" x14ac:dyDescent="0.55000000000000004">
      <c r="B83" s="3"/>
      <c r="C83" s="39"/>
      <c r="D83" s="39"/>
      <c r="E83" s="39"/>
      <c r="F83" s="39"/>
      <c r="G83" s="39"/>
      <c r="H83" s="39"/>
      <c r="I83" s="39"/>
      <c r="J83" s="39"/>
      <c r="K83" s="39"/>
      <c r="L83" s="39"/>
      <c r="M83" s="49"/>
      <c r="N83" s="49"/>
    </row>
    <row r="84" spans="2:18" ht="18" x14ac:dyDescent="0.55000000000000004">
      <c r="B84" s="43" t="s">
        <v>31</v>
      </c>
      <c r="C84" s="50">
        <f t="shared" ref="C84:Q84" si="46">C55</f>
        <v>-123810</v>
      </c>
      <c r="D84" s="50">
        <f t="shared" si="46"/>
        <v>-15743</v>
      </c>
      <c r="E84" s="50">
        <f t="shared" si="46"/>
        <v>127386</v>
      </c>
      <c r="F84" s="50">
        <f t="shared" si="46"/>
        <v>284531</v>
      </c>
      <c r="G84" s="50">
        <f t="shared" si="46"/>
        <v>342267</v>
      </c>
      <c r="H84" s="50">
        <f t="shared" si="46"/>
        <v>362079.31371738901</v>
      </c>
      <c r="I84" s="50">
        <f t="shared" si="46"/>
        <v>436076.84442277421</v>
      </c>
      <c r="J84" s="50">
        <f t="shared" si="46"/>
        <v>493344.98300164705</v>
      </c>
      <c r="K84" s="50">
        <f t="shared" si="46"/>
        <v>556360.64372265525</v>
      </c>
      <c r="L84" s="50">
        <f t="shared" si="46"/>
        <v>623783.9952265803</v>
      </c>
      <c r="M84" s="50">
        <f t="shared" si="46"/>
        <v>696881.45750654861</v>
      </c>
      <c r="N84" s="50">
        <f t="shared" si="46"/>
        <v>775669.7392238318</v>
      </c>
      <c r="O84" s="50">
        <f t="shared" si="46"/>
        <v>860097.67256029334</v>
      </c>
      <c r="P84" s="50">
        <f t="shared" si="46"/>
        <v>950043.57139001903</v>
      </c>
      <c r="Q84" s="50">
        <f t="shared" si="46"/>
        <v>1045314.6307848457</v>
      </c>
    </row>
    <row r="85" spans="2:18" ht="18" x14ac:dyDescent="0.55000000000000004">
      <c r="B85" s="3" t="s">
        <v>29</v>
      </c>
      <c r="C85" s="48">
        <f t="shared" ref="C85:Q85" si="47">C56</f>
        <v>-6.2480697143480028E-2</v>
      </c>
      <c r="D85" s="48">
        <f t="shared" si="47"/>
        <v>-8.7677186666696369E-3</v>
      </c>
      <c r="E85" s="48">
        <f t="shared" si="47"/>
        <v>5.8605109510207108E-2</v>
      </c>
      <c r="F85" s="48">
        <f t="shared" si="47"/>
        <v>0.11657107787205782</v>
      </c>
      <c r="G85" s="48">
        <f t="shared" si="47"/>
        <v>0.14458764258442697</v>
      </c>
      <c r="H85" s="48">
        <f t="shared" si="47"/>
        <v>0.15171838876897242</v>
      </c>
      <c r="I85" s="48">
        <f t="shared" si="47"/>
        <v>0.15791815095603054</v>
      </c>
      <c r="J85" s="48">
        <f t="shared" si="47"/>
        <v>0.16199604290607855</v>
      </c>
      <c r="K85" s="48">
        <f t="shared" si="47"/>
        <v>0.16613196097730779</v>
      </c>
      <c r="L85" s="48">
        <f t="shared" si="47"/>
        <v>0.16991191541658579</v>
      </c>
      <c r="M85" s="48">
        <f t="shared" si="47"/>
        <v>0.17372765339572172</v>
      </c>
      <c r="N85" s="48">
        <f t="shared" si="47"/>
        <v>0.17758269875018207</v>
      </c>
      <c r="O85" s="48">
        <f t="shared" si="47"/>
        <v>0.18148187044187697</v>
      </c>
      <c r="P85" s="48">
        <f t="shared" si="47"/>
        <v>0.18543129567875175</v>
      </c>
      <c r="Q85" s="48">
        <f t="shared" si="47"/>
        <v>0.18943843608264785</v>
      </c>
    </row>
    <row r="86" spans="2:18" ht="18" x14ac:dyDescent="0.55000000000000004">
      <c r="B86" s="3"/>
      <c r="C86" s="51"/>
      <c r="D86" s="51"/>
      <c r="E86" s="51"/>
      <c r="F86" s="51"/>
      <c r="G86" s="51"/>
      <c r="H86" s="51"/>
      <c r="I86" s="51"/>
      <c r="J86" s="51"/>
      <c r="K86" s="51"/>
      <c r="L86" s="51"/>
      <c r="M86" s="49"/>
      <c r="N86" s="49"/>
    </row>
    <row r="87" spans="2:18" ht="18" x14ac:dyDescent="0.55000000000000004">
      <c r="B87" s="43" t="s">
        <v>44</v>
      </c>
      <c r="C87" s="52">
        <f>C55-C59</f>
        <v>-169322</v>
      </c>
      <c r="D87" s="52">
        <f t="shared" ref="D87:Q87" si="48">D55-D59</f>
        <v>-21939</v>
      </c>
      <c r="E87" s="52">
        <f t="shared" si="48"/>
        <v>156454</v>
      </c>
      <c r="F87" s="52">
        <f t="shared" si="48"/>
        <v>327938</v>
      </c>
      <c r="G87" s="52">
        <f t="shared" si="48"/>
        <v>381199</v>
      </c>
      <c r="H87" s="52">
        <f t="shared" si="48"/>
        <v>282421.86469956342</v>
      </c>
      <c r="I87" s="52">
        <f t="shared" si="48"/>
        <v>340139.93864976388</v>
      </c>
      <c r="J87" s="52">
        <f t="shared" si="48"/>
        <v>384809.0867412847</v>
      </c>
      <c r="K87" s="52">
        <f t="shared" si="48"/>
        <v>433961.30210367113</v>
      </c>
      <c r="L87" s="52">
        <f t="shared" si="48"/>
        <v>486551.51627673267</v>
      </c>
      <c r="M87" s="52">
        <f t="shared" si="48"/>
        <v>543567.53685510787</v>
      </c>
      <c r="N87" s="52">
        <f t="shared" si="48"/>
        <v>605022.39659458876</v>
      </c>
      <c r="O87" s="52">
        <f t="shared" si="48"/>
        <v>670876.18459702877</v>
      </c>
      <c r="P87" s="52">
        <f t="shared" si="48"/>
        <v>741033.98568421486</v>
      </c>
      <c r="Q87" s="52">
        <f t="shared" si="48"/>
        <v>815345.41201217961</v>
      </c>
      <c r="R87" s="53"/>
    </row>
    <row r="88" spans="2:18" ht="18" x14ac:dyDescent="0.55000000000000004">
      <c r="B88" s="3"/>
      <c r="C88" s="51"/>
      <c r="D88" s="51"/>
      <c r="E88" s="51"/>
      <c r="F88" s="51"/>
      <c r="G88" s="51"/>
      <c r="H88" s="51"/>
      <c r="I88" s="51"/>
      <c r="J88" s="51"/>
      <c r="K88" s="51"/>
      <c r="L88" s="51"/>
      <c r="M88" s="49"/>
      <c r="N88" s="49"/>
    </row>
    <row r="89" spans="2:18" ht="18" x14ac:dyDescent="0.55000000000000004">
      <c r="B89" s="43" t="s">
        <v>39</v>
      </c>
      <c r="C89" s="50">
        <f t="shared" ref="C89:Q89" si="49">C63</f>
        <v>84153</v>
      </c>
      <c r="D89" s="50">
        <f t="shared" si="49"/>
        <v>66763</v>
      </c>
      <c r="E89" s="50">
        <f t="shared" si="49"/>
        <v>55763</v>
      </c>
      <c r="F89" s="50">
        <f t="shared" si="49"/>
        <v>56277</v>
      </c>
      <c r="G89" s="50">
        <f t="shared" si="49"/>
        <v>49517</v>
      </c>
      <c r="H89" s="50">
        <f t="shared" si="49"/>
        <v>64436.101317000001</v>
      </c>
      <c r="I89" s="50">
        <f t="shared" si="49"/>
        <v>77012.671358533335</v>
      </c>
      <c r="J89" s="50">
        <f t="shared" si="49"/>
        <v>87640.241291784216</v>
      </c>
      <c r="K89" s="50">
        <f t="shared" si="49"/>
        <v>99350.935645830352</v>
      </c>
      <c r="L89" s="50">
        <f t="shared" si="49"/>
        <v>112176.1618311534</v>
      </c>
      <c r="M89" s="50">
        <f t="shared" si="49"/>
        <v>126134.49756910019</v>
      </c>
      <c r="N89" s="50">
        <f t="shared" si="49"/>
        <v>141229.90815780801</v>
      </c>
      <c r="O89" s="50">
        <f t="shared" si="49"/>
        <v>157450.19566439654</v>
      </c>
      <c r="P89" s="50">
        <f t="shared" si="49"/>
        <v>174765.76273416629</v>
      </c>
      <c r="Q89" s="50">
        <f t="shared" si="49"/>
        <v>193128.76960992184</v>
      </c>
    </row>
    <row r="90" spans="2:18" ht="18" x14ac:dyDescent="0.55000000000000004">
      <c r="B90" s="3" t="s">
        <v>29</v>
      </c>
      <c r="C90" s="54">
        <f t="shared" ref="C90:Q90" si="50">C64</f>
        <v>4.2467798293476092E-2</v>
      </c>
      <c r="D90" s="54">
        <f t="shared" si="50"/>
        <v>3.7182188994655717E-2</v>
      </c>
      <c r="E90" s="54">
        <f t="shared" si="50"/>
        <v>2.5654284784965998E-2</v>
      </c>
      <c r="F90" s="54">
        <f t="shared" si="50"/>
        <v>2.3056435149090251E-2</v>
      </c>
      <c r="G90" s="54">
        <f t="shared" si="50"/>
        <v>2.0918015169014453E-2</v>
      </c>
      <c r="H90" s="54">
        <f t="shared" si="50"/>
        <v>2.7E-2</v>
      </c>
      <c r="I90" s="54">
        <f t="shared" si="50"/>
        <v>2.788888888888889E-2</v>
      </c>
      <c r="J90" s="54">
        <f t="shared" si="50"/>
        <v>2.8777777777777777E-2</v>
      </c>
      <c r="K90" s="54">
        <f t="shared" si="50"/>
        <v>2.9666666666666668E-2</v>
      </c>
      <c r="L90" s="54">
        <f t="shared" si="50"/>
        <v>3.0555555555555558E-2</v>
      </c>
      <c r="M90" s="54">
        <f t="shared" si="50"/>
        <v>3.1444444444444448E-2</v>
      </c>
      <c r="N90" s="54">
        <f t="shared" si="50"/>
        <v>3.2333333333333339E-2</v>
      </c>
      <c r="O90" s="54">
        <f t="shared" si="50"/>
        <v>3.3222222222222222E-2</v>
      </c>
      <c r="P90" s="54">
        <f t="shared" si="50"/>
        <v>3.4111111111111113E-2</v>
      </c>
      <c r="Q90" s="54">
        <f t="shared" si="50"/>
        <v>3.5000000000000003E-2</v>
      </c>
    </row>
    <row r="91" spans="2:18" x14ac:dyDescent="0.45">
      <c r="C91" s="49"/>
      <c r="D91" s="49"/>
      <c r="E91" s="49"/>
      <c r="F91" s="49"/>
      <c r="G91" s="49"/>
      <c r="H91" s="49"/>
      <c r="I91" s="49"/>
      <c r="J91" s="49"/>
      <c r="K91" s="49"/>
      <c r="L91" s="49"/>
      <c r="M91" s="49"/>
      <c r="N91" s="49"/>
    </row>
    <row r="92" spans="2:18" ht="18" x14ac:dyDescent="0.55000000000000004">
      <c r="B92" s="43" t="s">
        <v>562</v>
      </c>
      <c r="C92" s="182">
        <f t="shared" ref="C92:Q92" si="51">C67</f>
        <v>34682</v>
      </c>
      <c r="D92" s="182">
        <f t="shared" si="51"/>
        <v>19747</v>
      </c>
      <c r="E92" s="182">
        <f t="shared" si="51"/>
        <v>26884</v>
      </c>
      <c r="F92" s="182">
        <f t="shared" si="51"/>
        <v>30562</v>
      </c>
      <c r="G92" s="182">
        <f t="shared" si="51"/>
        <v>22891</v>
      </c>
      <c r="H92" s="183">
        <f t="shared" si="51"/>
        <v>31024.789522999999</v>
      </c>
      <c r="I92" s="183">
        <f t="shared" si="51"/>
        <v>36205.160240266661</v>
      </c>
      <c r="J92" s="183">
        <f t="shared" si="51"/>
        <v>40267.13789081978</v>
      </c>
      <c r="K92" s="183">
        <f t="shared" si="51"/>
        <v>44652.105908238358</v>
      </c>
      <c r="L92" s="183">
        <f t="shared" si="51"/>
        <v>49357.511205707495</v>
      </c>
      <c r="M92" s="183">
        <f t="shared" si="51"/>
        <v>54376.002485619152</v>
      </c>
      <c r="N92" s="183">
        <f t="shared" si="51"/>
        <v>59695.115819279665</v>
      </c>
      <c r="O92" s="183">
        <f t="shared" si="51"/>
        <v>65297.071111656085</v>
      </c>
      <c r="P92" s="183">
        <f t="shared" si="51"/>
        <v>71158.6981816638</v>
      </c>
      <c r="Q92" s="183">
        <f t="shared" si="51"/>
        <v>77251.507843968735</v>
      </c>
    </row>
    <row r="93" spans="2:18" ht="18" x14ac:dyDescent="0.55000000000000004">
      <c r="B93" s="3" t="s">
        <v>29</v>
      </c>
      <c r="C93" s="184">
        <f t="shared" ref="C93:Q93" si="52">C68</f>
        <v>1.7502265877798032E-2</v>
      </c>
      <c r="D93" s="184">
        <f t="shared" si="52"/>
        <v>1.0997658674377521E-2</v>
      </c>
      <c r="E93" s="184">
        <f t="shared" si="52"/>
        <v>1.2368233275810591E-2</v>
      </c>
      <c r="F93" s="184">
        <f t="shared" si="52"/>
        <v>1.2521114683200886E-2</v>
      </c>
      <c r="G93" s="184">
        <f t="shared" si="52"/>
        <v>9.6700988596625376E-3</v>
      </c>
      <c r="H93" s="184">
        <f t="shared" si="52"/>
        <v>1.2999999999999999E-2</v>
      </c>
      <c r="I93" s="184">
        <f t="shared" si="52"/>
        <v>1.311111111111111E-2</v>
      </c>
      <c r="J93" s="184">
        <f t="shared" si="52"/>
        <v>1.3222222222222222E-2</v>
      </c>
      <c r="K93" s="184">
        <f t="shared" si="52"/>
        <v>1.3333333333333332E-2</v>
      </c>
      <c r="L93" s="184">
        <f t="shared" si="52"/>
        <v>1.3444444444444445E-2</v>
      </c>
      <c r="M93" s="184">
        <f t="shared" si="52"/>
        <v>1.3555555555555555E-2</v>
      </c>
      <c r="N93" s="184">
        <f t="shared" si="52"/>
        <v>1.3666666666666667E-2</v>
      </c>
      <c r="O93" s="184">
        <f t="shared" si="52"/>
        <v>1.3777777777777778E-2</v>
      </c>
      <c r="P93" s="184">
        <f t="shared" si="52"/>
        <v>1.388888888888889E-2</v>
      </c>
      <c r="Q93" s="184">
        <f t="shared" si="52"/>
        <v>1.4E-2</v>
      </c>
    </row>
    <row r="94" spans="2:18" x14ac:dyDescent="0.45">
      <c r="C94" s="185"/>
      <c r="D94" s="185"/>
      <c r="E94" s="185"/>
      <c r="F94" s="185"/>
      <c r="G94" s="185"/>
      <c r="H94" s="185"/>
      <c r="I94" s="185"/>
      <c r="J94" s="185"/>
      <c r="K94" s="185"/>
      <c r="L94" s="185"/>
      <c r="M94" s="185"/>
      <c r="N94" s="185"/>
      <c r="O94" s="186"/>
      <c r="P94" s="186"/>
      <c r="Q94" s="186"/>
    </row>
    <row r="95" spans="2:18" ht="18" x14ac:dyDescent="0.55000000000000004">
      <c r="B95" s="43" t="s">
        <v>557</v>
      </c>
      <c r="C95" s="187">
        <f t="shared" ref="C95:Q95" si="53">C70</f>
        <v>-89572</v>
      </c>
      <c r="D95" s="187">
        <f t="shared" si="53"/>
        <v>94757</v>
      </c>
      <c r="E95" s="187">
        <f t="shared" si="53"/>
        <v>43822</v>
      </c>
      <c r="F95" s="187">
        <f t="shared" si="53"/>
        <v>89906</v>
      </c>
      <c r="G95" s="187">
        <f t="shared" si="53"/>
        <v>91103</v>
      </c>
      <c r="H95" s="187">
        <f t="shared" si="53"/>
        <v>4371.8574877664551</v>
      </c>
      <c r="I95" s="187">
        <f t="shared" si="53"/>
        <v>84795.894479900468</v>
      </c>
      <c r="J95" s="187">
        <f t="shared" si="53"/>
        <v>64238.637436430319</v>
      </c>
      <c r="K95" s="187">
        <f t="shared" si="53"/>
        <v>68647.277634438273</v>
      </c>
      <c r="L95" s="187">
        <f t="shared" si="53"/>
        <v>72903.659484970689</v>
      </c>
      <c r="M95" s="187">
        <f t="shared" si="53"/>
        <v>76932.711487396853</v>
      </c>
      <c r="N95" s="187">
        <f t="shared" si="53"/>
        <v>80657.210023801483</v>
      </c>
      <c r="O95" s="187">
        <f t="shared" si="53"/>
        <v>83999.703893445811</v>
      </c>
      <c r="P95" s="187">
        <f t="shared" si="53"/>
        <v>86884.636111975284</v>
      </c>
      <c r="Q95" s="187">
        <f t="shared" si="53"/>
        <v>89240.59641504132</v>
      </c>
    </row>
    <row r="96" spans="2:18" ht="18" x14ac:dyDescent="0.55000000000000004">
      <c r="B96" s="3" t="s">
        <v>529</v>
      </c>
      <c r="C96" s="188">
        <f>C72</f>
        <v>-4.5202495796266805E-2</v>
      </c>
      <c r="D96" s="188">
        <f t="shared" ref="D96:Q96" si="54">D72</f>
        <v>5.2772833494099905E-2</v>
      </c>
      <c r="E96" s="188">
        <f t="shared" si="54"/>
        <v>2.0160717103577284E-2</v>
      </c>
      <c r="F96" s="188">
        <f t="shared" si="54"/>
        <v>3.6834086012298241E-2</v>
      </c>
      <c r="G96" s="188">
        <f t="shared" si="54"/>
        <v>3.8485650098808971E-2</v>
      </c>
      <c r="H96" s="188">
        <f t="shared" si="54"/>
        <v>0.22618978633766124</v>
      </c>
      <c r="I96" s="188">
        <f t="shared" si="54"/>
        <v>0.22618978633766124</v>
      </c>
      <c r="J96" s="188">
        <f t="shared" si="54"/>
        <v>0.22618978633766124</v>
      </c>
      <c r="K96" s="188">
        <f t="shared" si="54"/>
        <v>0.22618978633766124</v>
      </c>
      <c r="L96" s="188">
        <f t="shared" si="54"/>
        <v>0.22618978633766124</v>
      </c>
      <c r="M96" s="188">
        <f t="shared" si="54"/>
        <v>0.22618978633766124</v>
      </c>
      <c r="N96" s="188">
        <f t="shared" si="54"/>
        <v>0.22618978633766124</v>
      </c>
      <c r="O96" s="188">
        <f t="shared" si="54"/>
        <v>0.22618978633766124</v>
      </c>
      <c r="P96" s="188">
        <f t="shared" si="54"/>
        <v>0.22618978633766124</v>
      </c>
      <c r="Q96" s="188">
        <f t="shared" si="54"/>
        <v>0.22618978633766124</v>
      </c>
    </row>
    <row r="97" spans="2:17" ht="18" x14ac:dyDescent="0.55000000000000004">
      <c r="B97" s="3"/>
      <c r="C97" s="54"/>
      <c r="D97" s="54"/>
      <c r="E97" s="54"/>
      <c r="F97" s="54"/>
      <c r="G97" s="54"/>
      <c r="H97" s="54"/>
      <c r="I97" s="54"/>
      <c r="J97" s="54"/>
      <c r="K97" s="54"/>
      <c r="L97" s="54"/>
      <c r="M97" s="54"/>
      <c r="N97" s="54"/>
      <c r="O97" s="54"/>
      <c r="P97" s="54"/>
      <c r="Q97" s="54"/>
    </row>
    <row r="98" spans="2:17" ht="18" x14ac:dyDescent="0.55000000000000004">
      <c r="B98" s="192" t="s">
        <v>558</v>
      </c>
      <c r="C98" s="50"/>
      <c r="D98" s="50"/>
      <c r="E98" s="50"/>
      <c r="F98" s="193" t="s">
        <v>563</v>
      </c>
      <c r="G98" s="50"/>
      <c r="H98" s="50">
        <f>H75</f>
        <v>29831.528387500002</v>
      </c>
      <c r="I98" s="50">
        <f t="shared" ref="I98:Q98" si="55">I75</f>
        <v>34517.631585000003</v>
      </c>
      <c r="J98" s="50">
        <f t="shared" si="55"/>
        <v>38067.672375775001</v>
      </c>
      <c r="K98" s="50">
        <f t="shared" si="55"/>
        <v>41861.349288973463</v>
      </c>
      <c r="L98" s="50">
        <f t="shared" si="55"/>
        <v>45890.248021835483</v>
      </c>
      <c r="M98" s="50">
        <f t="shared" si="55"/>
        <v>50141.805570755372</v>
      </c>
      <c r="N98" s="50">
        <f t="shared" si="55"/>
        <v>54599.191298121645</v>
      </c>
      <c r="O98" s="50">
        <f t="shared" si="55"/>
        <v>59241.294355333142</v>
      </c>
      <c r="P98" s="50">
        <f t="shared" si="55"/>
        <v>64042.828363497421</v>
      </c>
      <c r="Q98" s="50">
        <f t="shared" si="55"/>
        <v>68974.560574972085</v>
      </c>
    </row>
    <row r="99" spans="2:17" ht="18" x14ac:dyDescent="0.55000000000000004">
      <c r="B99" s="192" t="s">
        <v>559</v>
      </c>
      <c r="C99" s="50"/>
      <c r="D99" s="50"/>
      <c r="E99" s="50"/>
      <c r="F99" s="50"/>
      <c r="G99" s="50"/>
      <c r="H99" s="50">
        <f t="shared" ref="H99:Q99" si="56">H76</f>
        <v>15462.616800000145</v>
      </c>
      <c r="I99" s="50">
        <f t="shared" si="56"/>
        <v>299910.60463999992</v>
      </c>
      <c r="J99" s="50">
        <f t="shared" si="56"/>
        <v>227202.61060959994</v>
      </c>
      <c r="K99" s="50">
        <f t="shared" si="56"/>
        <v>242795.32244470157</v>
      </c>
      <c r="L99" s="50">
        <f t="shared" si="56"/>
        <v>257849.51890316902</v>
      </c>
      <c r="M99" s="50">
        <f t="shared" si="56"/>
        <v>272099.68313087302</v>
      </c>
      <c r="N99" s="50">
        <f t="shared" si="56"/>
        <v>285272.68655144161</v>
      </c>
      <c r="O99" s="50">
        <f t="shared" si="56"/>
        <v>297094.59566153586</v>
      </c>
      <c r="P99" s="50">
        <f t="shared" si="56"/>
        <v>307298.1765225135</v>
      </c>
      <c r="Q99" s="50">
        <f t="shared" si="56"/>
        <v>315630.86153437867</v>
      </c>
    </row>
    <row r="100" spans="2:17" ht="18" x14ac:dyDescent="0.55000000000000004">
      <c r="B100" s="192" t="s">
        <v>561</v>
      </c>
      <c r="C100" s="50"/>
      <c r="D100" s="50"/>
      <c r="E100" s="50"/>
      <c r="F100" s="50"/>
      <c r="G100" s="50"/>
      <c r="H100" s="50">
        <f t="shared" ref="H100:Q100" si="57">H77</f>
        <v>45294.145187500151</v>
      </c>
      <c r="I100" s="50">
        <f t="shared" si="57"/>
        <v>334428.23622499994</v>
      </c>
      <c r="J100" s="50">
        <f t="shared" si="57"/>
        <v>265270.28298537491</v>
      </c>
      <c r="K100" s="50">
        <f t="shared" si="57"/>
        <v>284656.67173367506</v>
      </c>
      <c r="L100" s="50">
        <f t="shared" si="57"/>
        <v>303739.76692500449</v>
      </c>
      <c r="M100" s="50">
        <f t="shared" si="57"/>
        <v>322241.4887016284</v>
      </c>
      <c r="N100" s="50">
        <f t="shared" si="57"/>
        <v>339871.87784956326</v>
      </c>
      <c r="O100" s="50">
        <f t="shared" si="57"/>
        <v>356335.890016869</v>
      </c>
      <c r="P100" s="50">
        <f t="shared" si="57"/>
        <v>371341.00488601089</v>
      </c>
      <c r="Q100" s="50">
        <f t="shared" si="57"/>
        <v>384605.42210935074</v>
      </c>
    </row>
    <row r="101" spans="2:17" ht="18" x14ac:dyDescent="0.55000000000000004">
      <c r="C101" s="55"/>
      <c r="D101" s="55"/>
      <c r="E101" s="55"/>
      <c r="F101" s="55"/>
      <c r="G101" s="55"/>
      <c r="H101" s="55"/>
      <c r="I101" s="55"/>
      <c r="J101" s="55"/>
      <c r="K101" s="55"/>
      <c r="L101" s="55"/>
    </row>
    <row r="102" spans="2:17" ht="18" x14ac:dyDescent="0.55000000000000004">
      <c r="B102" s="56" t="s">
        <v>45</v>
      </c>
      <c r="C102" s="57"/>
      <c r="D102" s="57"/>
      <c r="E102" s="57"/>
      <c r="F102" s="57"/>
      <c r="G102" s="57"/>
      <c r="H102" s="58">
        <f t="shared" ref="H102:Q102" si="58">H87+H89-H77</f>
        <v>301563.82082906325</v>
      </c>
      <c r="I102" s="58">
        <f t="shared" si="58"/>
        <v>82724.373783297255</v>
      </c>
      <c r="J102" s="58">
        <f t="shared" si="58"/>
        <v>207179.045047694</v>
      </c>
      <c r="K102" s="58">
        <f t="shared" si="58"/>
        <v>248655.56601582642</v>
      </c>
      <c r="L102" s="58">
        <f t="shared" si="58"/>
        <v>294987.91118288162</v>
      </c>
      <c r="M102" s="58">
        <f t="shared" si="58"/>
        <v>347460.5457225797</v>
      </c>
      <c r="N102" s="58">
        <f t="shared" si="58"/>
        <v>406380.42690283351</v>
      </c>
      <c r="O102" s="58">
        <f t="shared" si="58"/>
        <v>471990.49024455628</v>
      </c>
      <c r="P102" s="58">
        <f t="shared" si="58"/>
        <v>544458.74353237031</v>
      </c>
      <c r="Q102" s="58">
        <f t="shared" si="58"/>
        <v>623868.75951275066</v>
      </c>
    </row>
    <row r="103" spans="2:17" ht="18" x14ac:dyDescent="0.55000000000000004">
      <c r="B103" s="59" t="s">
        <v>46</v>
      </c>
      <c r="C103" s="55"/>
      <c r="D103" s="55"/>
      <c r="E103" s="55"/>
      <c r="F103" s="55"/>
      <c r="G103" s="55"/>
      <c r="H103" s="60">
        <f>((E5-E4)/365)</f>
        <v>0.42739726027397262</v>
      </c>
      <c r="I103" s="60">
        <f>(E5-E4)/365+1</f>
        <v>1.4273972602739726</v>
      </c>
      <c r="J103" s="60">
        <f>I103+1</f>
        <v>2.4273972602739726</v>
      </c>
      <c r="K103" s="60">
        <f>J103+1</f>
        <v>3.4273972602739726</v>
      </c>
      <c r="L103" s="60">
        <f>K103+1</f>
        <v>4.4273972602739722</v>
      </c>
      <c r="M103" s="60">
        <f t="shared" ref="M103:P103" si="59">L103+1</f>
        <v>5.4273972602739722</v>
      </c>
      <c r="N103" s="60">
        <f t="shared" si="59"/>
        <v>6.4273972602739722</v>
      </c>
      <c r="O103" s="60">
        <f t="shared" si="59"/>
        <v>7.4273972602739722</v>
      </c>
      <c r="P103" s="60">
        <f t="shared" si="59"/>
        <v>8.4273972602739722</v>
      </c>
      <c r="Q103" s="60">
        <f>P103+1</f>
        <v>9.4273972602739722</v>
      </c>
    </row>
    <row r="104" spans="2:17" ht="18" x14ac:dyDescent="0.55000000000000004">
      <c r="B104" s="43" t="s">
        <v>47</v>
      </c>
      <c r="C104" s="55"/>
      <c r="D104" s="55"/>
      <c r="E104" s="55"/>
      <c r="F104" s="55"/>
      <c r="G104" s="55"/>
      <c r="H104" s="61">
        <f>H102/(1+$E$2)^H103</f>
        <v>291056.08643986675</v>
      </c>
      <c r="I104" s="61">
        <f>I102/(1+$E$2)^I103</f>
        <v>73484.021391489034</v>
      </c>
      <c r="J104" s="61">
        <f>J102/(1+$E$2)^J103</f>
        <v>169381.99040794361</v>
      </c>
      <c r="K104" s="61">
        <f>K102/(1+$E$2)^K103</f>
        <v>187103.35218933818</v>
      </c>
      <c r="L104" s="61">
        <f>L102/(1+$E$2)^L103</f>
        <v>204291.16279996809</v>
      </c>
      <c r="M104" s="61">
        <f t="shared" ref="M104:Q104" si="60">M102/(1+$E$2)^M103</f>
        <v>221468.94535598005</v>
      </c>
      <c r="N104" s="61">
        <f t="shared" si="60"/>
        <v>238397.72171692361</v>
      </c>
      <c r="O104" s="61">
        <f t="shared" si="60"/>
        <v>254838.20964842191</v>
      </c>
      <c r="P104" s="61">
        <f t="shared" si="60"/>
        <v>270556.6742243414</v>
      </c>
      <c r="Q104" s="61">
        <f t="shared" si="60"/>
        <v>285330.6937026864</v>
      </c>
    </row>
    <row r="105" spans="2:17" ht="18" x14ac:dyDescent="0.55000000000000004">
      <c r="B105" s="3"/>
      <c r="C105" s="55"/>
      <c r="D105" s="55"/>
      <c r="E105" s="55"/>
      <c r="F105" s="55"/>
      <c r="G105" s="55"/>
      <c r="H105" s="55"/>
      <c r="I105" s="55"/>
      <c r="J105" s="55"/>
      <c r="K105" s="55"/>
      <c r="L105" s="55"/>
      <c r="P105" s="3"/>
      <c r="Q105" s="3"/>
    </row>
    <row r="106" spans="2:17" ht="18" x14ac:dyDescent="0.55000000000000004">
      <c r="B106" s="43" t="s">
        <v>552</v>
      </c>
      <c r="C106" s="172"/>
      <c r="D106" s="172"/>
      <c r="E106" s="172"/>
      <c r="F106" s="172"/>
      <c r="G106" s="172"/>
      <c r="H106" s="172"/>
      <c r="I106" s="172"/>
      <c r="J106" s="172"/>
      <c r="K106" s="172"/>
      <c r="L106" s="172"/>
      <c r="M106" s="173"/>
      <c r="N106" s="180" t="s">
        <v>552</v>
      </c>
      <c r="O106" s="173"/>
      <c r="P106" s="174"/>
      <c r="Q106" s="175">
        <f>E3/E2</f>
        <v>0.25427428652997808</v>
      </c>
    </row>
    <row r="107" spans="2:17" ht="18" x14ac:dyDescent="0.55000000000000004">
      <c r="B107" s="43" t="s">
        <v>553</v>
      </c>
      <c r="C107" s="172"/>
      <c r="D107" s="172"/>
      <c r="E107" s="172"/>
      <c r="F107" s="172"/>
      <c r="G107" s="172"/>
      <c r="H107" s="172"/>
      <c r="I107" s="172"/>
      <c r="J107" s="172"/>
      <c r="K107" s="172"/>
      <c r="L107" s="172"/>
      <c r="M107" s="173"/>
      <c r="N107" s="180" t="s">
        <v>553</v>
      </c>
      <c r="O107" s="173"/>
      <c r="P107" s="174"/>
      <c r="Q107" s="174">
        <f>Q87*(1+E3)</f>
        <v>833283.01107644755</v>
      </c>
    </row>
    <row r="108" spans="2:17" ht="18" x14ac:dyDescent="0.55000000000000004">
      <c r="B108" s="43" t="s">
        <v>554</v>
      </c>
      <c r="C108" s="172"/>
      <c r="D108" s="172"/>
      <c r="E108" s="172"/>
      <c r="F108" s="172"/>
      <c r="G108" s="172"/>
      <c r="H108" s="172"/>
      <c r="I108" s="172"/>
      <c r="J108" s="172"/>
      <c r="K108" s="172"/>
      <c r="L108" s="172"/>
      <c r="M108" s="173"/>
      <c r="N108" s="180" t="s">
        <v>554</v>
      </c>
      <c r="O108" s="173"/>
      <c r="P108" s="174"/>
      <c r="Q108" s="174">
        <f>Q87*(1+E3)*(1-Q106)</f>
        <v>621400.56795743201</v>
      </c>
    </row>
    <row r="109" spans="2:17" ht="18" x14ac:dyDescent="0.55000000000000004">
      <c r="B109" s="3"/>
      <c r="C109" s="172"/>
      <c r="D109" s="172"/>
      <c r="E109" s="172"/>
      <c r="F109" s="172"/>
      <c r="G109" s="172"/>
      <c r="H109" s="172"/>
      <c r="I109" s="172"/>
      <c r="J109" s="172"/>
      <c r="K109" s="172"/>
      <c r="L109" s="172"/>
      <c r="M109" s="173"/>
      <c r="N109" s="174"/>
      <c r="O109" s="173"/>
      <c r="P109" s="174"/>
      <c r="Q109" s="174"/>
    </row>
    <row r="110" spans="2:17" ht="18" x14ac:dyDescent="0.55000000000000004">
      <c r="B110" s="43" t="s">
        <v>555</v>
      </c>
      <c r="C110" s="172">
        <v>1.25</v>
      </c>
      <c r="D110" s="172"/>
      <c r="E110" s="172"/>
      <c r="F110" s="172"/>
      <c r="G110" s="172"/>
      <c r="H110" s="172"/>
      <c r="I110" s="172"/>
      <c r="J110" s="172"/>
      <c r="K110" s="172"/>
      <c r="L110" s="172"/>
      <c r="M110" s="173"/>
      <c r="N110" s="180" t="s">
        <v>555</v>
      </c>
      <c r="O110" s="173"/>
      <c r="P110" s="174"/>
      <c r="Q110" s="174"/>
    </row>
    <row r="111" spans="2:17" ht="18" x14ac:dyDescent="0.55000000000000004">
      <c r="B111" s="43" t="s">
        <v>556</v>
      </c>
      <c r="C111" s="176">
        <v>1.2500000000000001E-2</v>
      </c>
      <c r="D111" s="172"/>
      <c r="E111" s="172"/>
      <c r="F111" s="172"/>
      <c r="G111" s="172"/>
      <c r="H111" s="172"/>
      <c r="I111" s="172"/>
      <c r="J111" s="172"/>
      <c r="K111" s="172"/>
      <c r="L111" s="172"/>
      <c r="M111" s="173"/>
      <c r="N111" s="180" t="s">
        <v>556</v>
      </c>
      <c r="O111" s="173"/>
      <c r="P111" s="174"/>
      <c r="Q111" s="174"/>
    </row>
    <row r="112" spans="2:17" ht="18" x14ac:dyDescent="0.55000000000000004">
      <c r="B112" s="3"/>
      <c r="C112" s="172"/>
      <c r="D112" s="172"/>
      <c r="E112" s="172"/>
      <c r="F112" s="172"/>
      <c r="G112" s="172"/>
      <c r="H112" s="172"/>
      <c r="I112" s="172"/>
      <c r="J112" s="172"/>
      <c r="K112" s="172"/>
      <c r="L112" s="172"/>
      <c r="M112" s="173"/>
      <c r="N112" s="174"/>
      <c r="O112" s="173"/>
      <c r="P112" s="174"/>
      <c r="Q112" s="174"/>
    </row>
    <row r="113" spans="2:17" ht="18" x14ac:dyDescent="0.55000000000000004">
      <c r="B113" s="3"/>
      <c r="C113" s="172"/>
      <c r="D113" s="172"/>
      <c r="E113" s="172"/>
      <c r="F113" s="172"/>
      <c r="G113" s="172"/>
      <c r="H113" s="172"/>
      <c r="I113" s="172"/>
      <c r="J113" s="172"/>
      <c r="K113" s="172"/>
      <c r="L113" s="172"/>
      <c r="M113" s="173"/>
      <c r="N113" s="174"/>
      <c r="O113" s="173"/>
      <c r="P113" s="174"/>
      <c r="Q113" s="174"/>
    </row>
    <row r="114" spans="2:17" ht="18" x14ac:dyDescent="0.55000000000000004">
      <c r="B114" s="43" t="s">
        <v>48</v>
      </c>
      <c r="C114" s="172"/>
      <c r="D114" s="172"/>
      <c r="E114" s="172"/>
      <c r="F114" s="172"/>
      <c r="G114" s="172"/>
      <c r="H114" s="172"/>
      <c r="I114" s="172"/>
      <c r="J114" s="172"/>
      <c r="K114" s="172"/>
      <c r="L114" s="177"/>
      <c r="M114" s="177"/>
      <c r="N114" s="180" t="s">
        <v>48</v>
      </c>
      <c r="O114" s="177"/>
      <c r="P114" s="177"/>
      <c r="Q114" s="177">
        <f>Q108/($E$2-$E$3)</f>
        <v>9631020.1417734325</v>
      </c>
    </row>
    <row r="115" spans="2:17" ht="18" x14ac:dyDescent="0.55000000000000004">
      <c r="B115" s="43" t="s">
        <v>49</v>
      </c>
      <c r="C115" s="174"/>
      <c r="D115" s="174"/>
      <c r="E115" s="174"/>
      <c r="F115" s="174"/>
      <c r="G115" s="174"/>
      <c r="H115" s="174"/>
      <c r="I115" s="174"/>
      <c r="J115" s="174"/>
      <c r="K115" s="174"/>
      <c r="L115" s="178"/>
      <c r="M115" s="178"/>
      <c r="N115" s="180" t="s">
        <v>49</v>
      </c>
      <c r="O115" s="178"/>
      <c r="P115" s="178"/>
      <c r="Q115" s="178">
        <f>Q114/(1+$E$2)^$D$9</f>
        <v>4404813.6987384986</v>
      </c>
    </row>
    <row r="116" spans="2:17" ht="18" x14ac:dyDescent="0.55000000000000004">
      <c r="B116" s="3"/>
      <c r="C116" s="174"/>
      <c r="D116" s="174"/>
      <c r="E116" s="174"/>
      <c r="F116" s="174"/>
      <c r="G116" s="174"/>
      <c r="H116" s="174"/>
      <c r="I116" s="174"/>
      <c r="J116" s="174"/>
      <c r="K116" s="174"/>
      <c r="L116" s="178"/>
      <c r="M116" s="179"/>
      <c r="N116" s="174"/>
      <c r="O116" s="173"/>
      <c r="P116" s="174"/>
      <c r="Q116" s="174"/>
    </row>
    <row r="117" spans="2:17" ht="18" x14ac:dyDescent="0.55000000000000004">
      <c r="B117" s="43" t="s">
        <v>50</v>
      </c>
      <c r="C117" s="174"/>
      <c r="D117" s="174"/>
      <c r="E117" s="174"/>
      <c r="F117" s="174"/>
      <c r="G117" s="174"/>
      <c r="H117" s="174"/>
      <c r="I117" s="174"/>
      <c r="J117" s="174"/>
      <c r="K117" s="174"/>
      <c r="L117" s="178"/>
      <c r="M117" s="179"/>
      <c r="N117" s="180" t="s">
        <v>50</v>
      </c>
      <c r="O117" s="173"/>
      <c r="P117" s="174"/>
      <c r="Q117" s="178">
        <f>SUM(H104:Q104)+Q115</f>
        <v>6600722.5566154579</v>
      </c>
    </row>
    <row r="118" spans="2:17" ht="18" x14ac:dyDescent="0.55000000000000004">
      <c r="B118" s="43" t="s">
        <v>51</v>
      </c>
      <c r="C118" s="180"/>
      <c r="D118" s="174"/>
      <c r="E118" s="174"/>
      <c r="F118" s="174"/>
      <c r="G118" s="174"/>
      <c r="H118" s="174"/>
      <c r="I118" s="174"/>
      <c r="J118" s="174"/>
      <c r="K118" s="174"/>
      <c r="L118" s="173"/>
      <c r="M118" s="179"/>
      <c r="N118" s="180" t="s">
        <v>51</v>
      </c>
      <c r="O118" s="173"/>
      <c r="P118" s="174"/>
      <c r="Q118" s="181">
        <v>745229</v>
      </c>
    </row>
    <row r="119" spans="2:17" ht="18" x14ac:dyDescent="0.55000000000000004">
      <c r="B119" s="43" t="s">
        <v>52</v>
      </c>
      <c r="C119" s="180"/>
      <c r="D119" s="174"/>
      <c r="E119" s="174"/>
      <c r="F119" s="174"/>
      <c r="G119" s="174"/>
      <c r="H119" s="174"/>
      <c r="I119" s="174"/>
      <c r="J119" s="174"/>
      <c r="K119" s="174"/>
      <c r="L119" s="178"/>
      <c r="M119" s="173"/>
      <c r="N119" s="180" t="s">
        <v>52</v>
      </c>
      <c r="O119" s="173"/>
      <c r="P119" s="174"/>
      <c r="Q119" s="178">
        <f>wacc!D8</f>
        <v>1575242</v>
      </c>
    </row>
    <row r="120" spans="2:17" ht="18" x14ac:dyDescent="0.55000000000000004">
      <c r="B120" s="43" t="s">
        <v>53</v>
      </c>
      <c r="C120" s="180"/>
      <c r="D120" s="174"/>
      <c r="E120" s="174"/>
      <c r="F120" s="174"/>
      <c r="G120" s="174"/>
      <c r="H120" s="174"/>
      <c r="I120" s="174"/>
      <c r="J120" s="174"/>
      <c r="K120" s="174"/>
      <c r="L120" s="178"/>
      <c r="M120" s="173"/>
      <c r="N120" s="180" t="s">
        <v>53</v>
      </c>
      <c r="O120" s="173"/>
      <c r="P120" s="174"/>
      <c r="Q120" s="178">
        <f>Q117+Q118-Q119</f>
        <v>5770709.5566154579</v>
      </c>
    </row>
    <row r="121" spans="2:17" ht="18" x14ac:dyDescent="0.55000000000000004">
      <c r="B121" s="43"/>
      <c r="C121" s="180"/>
      <c r="D121" s="174"/>
      <c r="E121" s="174"/>
      <c r="F121" s="174"/>
      <c r="G121" s="174"/>
      <c r="H121" s="174"/>
      <c r="I121" s="174"/>
      <c r="J121" s="174"/>
      <c r="K121" s="174"/>
      <c r="L121" s="174"/>
      <c r="M121" s="173"/>
      <c r="N121" s="180"/>
      <c r="O121" s="173"/>
      <c r="P121" s="174"/>
      <c r="Q121" s="174"/>
    </row>
    <row r="122" spans="2:17" ht="18" x14ac:dyDescent="0.55000000000000004">
      <c r="B122" s="43" t="s">
        <v>54</v>
      </c>
      <c r="C122" s="180"/>
      <c r="D122" s="174"/>
      <c r="E122" s="174"/>
      <c r="F122" s="174"/>
      <c r="G122" s="174"/>
      <c r="H122" s="174"/>
      <c r="I122" s="174"/>
      <c r="J122" s="174"/>
      <c r="K122" s="174"/>
      <c r="L122" s="174"/>
      <c r="M122" s="173"/>
      <c r="N122" s="180" t="s">
        <v>54</v>
      </c>
      <c r="O122" s="173"/>
      <c r="P122" s="174"/>
      <c r="Q122" s="178">
        <v>44608</v>
      </c>
    </row>
    <row r="123" spans="2:17" ht="18" x14ac:dyDescent="0.55000000000000004">
      <c r="B123" s="43"/>
      <c r="C123" s="180"/>
      <c r="D123" s="174"/>
      <c r="E123" s="174"/>
      <c r="F123" s="174"/>
      <c r="G123" s="174"/>
      <c r="H123" s="174"/>
      <c r="I123" s="174"/>
      <c r="J123" s="174"/>
      <c r="K123" s="174"/>
      <c r="L123" s="174"/>
      <c r="M123" s="173"/>
      <c r="N123" s="180"/>
      <c r="O123" s="173"/>
      <c r="P123" s="174"/>
      <c r="Q123" s="174"/>
    </row>
    <row r="124" spans="2:17" ht="18" x14ac:dyDescent="0.55000000000000004">
      <c r="B124" s="43" t="s">
        <v>55</v>
      </c>
      <c r="C124" s="180"/>
      <c r="D124" s="174"/>
      <c r="E124" s="174"/>
      <c r="F124" s="174"/>
      <c r="G124" s="174"/>
      <c r="H124" s="174"/>
      <c r="I124" s="174"/>
      <c r="J124" s="174"/>
      <c r="K124" s="174"/>
      <c r="L124" s="174"/>
      <c r="M124" s="173"/>
      <c r="N124" s="180" t="s">
        <v>55</v>
      </c>
      <c r="O124" s="173"/>
      <c r="P124" s="174"/>
      <c r="Q124" s="174">
        <f>Q120/Q122</f>
        <v>129.36490218381138</v>
      </c>
    </row>
    <row r="125" spans="2:17" ht="18" x14ac:dyDescent="0.55000000000000004">
      <c r="P125" s="3"/>
      <c r="Q125" s="3"/>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652C1-CEE9-4001-BF99-0B01D9E33E99}">
  <dimension ref="A2:I22"/>
  <sheetViews>
    <sheetView showGridLines="0" topLeftCell="A3" workbookViewId="0">
      <selection activeCell="I15" sqref="I15"/>
    </sheetView>
  </sheetViews>
  <sheetFormatPr defaultRowHeight="14.25" x14ac:dyDescent="0.45"/>
  <sheetData>
    <row r="2" spans="1:9" ht="21" x14ac:dyDescent="0.65">
      <c r="A2" s="119"/>
      <c r="B2" s="152" t="s">
        <v>1</v>
      </c>
      <c r="C2" s="119"/>
      <c r="D2" s="119"/>
      <c r="E2" s="119"/>
      <c r="F2" s="119"/>
      <c r="G2" s="119"/>
      <c r="H2" s="119"/>
      <c r="I2" s="119"/>
    </row>
    <row r="4" spans="1:9" x14ac:dyDescent="0.45">
      <c r="B4" s="2" t="s">
        <v>1</v>
      </c>
      <c r="C4" s="153"/>
      <c r="D4" s="153"/>
      <c r="E4" s="153"/>
      <c r="F4" s="153"/>
      <c r="G4" s="153"/>
      <c r="H4" s="153"/>
      <c r="I4" s="153"/>
    </row>
    <row r="5" spans="1:9" x14ac:dyDescent="0.45">
      <c r="B5" s="82" t="s">
        <v>535</v>
      </c>
    </row>
    <row r="6" spans="1:9" x14ac:dyDescent="0.45">
      <c r="B6" s="82" t="s">
        <v>536</v>
      </c>
    </row>
    <row r="7" spans="1:9" x14ac:dyDescent="0.45">
      <c r="A7" t="s">
        <v>537</v>
      </c>
      <c r="B7" s="2" t="s">
        <v>1</v>
      </c>
      <c r="C7" s="153"/>
      <c r="D7" s="153"/>
      <c r="E7" s="153"/>
      <c r="F7" s="153"/>
      <c r="G7" s="153"/>
      <c r="H7" s="153"/>
      <c r="I7" s="153"/>
    </row>
    <row r="8" spans="1:9" x14ac:dyDescent="0.45">
      <c r="B8" t="s">
        <v>538</v>
      </c>
      <c r="D8" s="62">
        <v>1575242</v>
      </c>
    </row>
    <row r="9" spans="1:9" x14ac:dyDescent="0.45">
      <c r="B9" t="s">
        <v>539</v>
      </c>
      <c r="D9" s="154">
        <f>D8/D20</f>
        <v>0.29636317593817929</v>
      </c>
    </row>
    <row r="10" spans="1:9" x14ac:dyDescent="0.45">
      <c r="B10" t="s">
        <v>540</v>
      </c>
      <c r="D10" s="155">
        <v>4.5999999999999999E-2</v>
      </c>
    </row>
    <row r="11" spans="1:9" x14ac:dyDescent="0.45">
      <c r="B11" t="s">
        <v>541</v>
      </c>
      <c r="D11" s="155">
        <v>0.22</v>
      </c>
    </row>
    <row r="13" spans="1:9" x14ac:dyDescent="0.45">
      <c r="B13" t="s">
        <v>542</v>
      </c>
      <c r="D13" s="62">
        <v>3740000</v>
      </c>
    </row>
    <row r="14" spans="1:9" x14ac:dyDescent="0.45">
      <c r="B14" t="s">
        <v>543</v>
      </c>
      <c r="D14" s="156">
        <f>D13/D20</f>
        <v>0.70363682406182071</v>
      </c>
    </row>
    <row r="15" spans="1:9" x14ac:dyDescent="0.45">
      <c r="B15" t="s">
        <v>544</v>
      </c>
      <c r="D15" s="86">
        <f>D16+D17*D18</f>
        <v>0.10784999999999999</v>
      </c>
    </row>
    <row r="16" spans="1:9" x14ac:dyDescent="0.45">
      <c r="B16" t="s">
        <v>545</v>
      </c>
      <c r="D16" s="157">
        <v>4.4929999999999998E-2</v>
      </c>
    </row>
    <row r="17" spans="1:4" x14ac:dyDescent="0.45">
      <c r="B17" t="s">
        <v>546</v>
      </c>
      <c r="D17" s="158">
        <v>1.21</v>
      </c>
    </row>
    <row r="18" spans="1:4" x14ac:dyDescent="0.45">
      <c r="B18" t="s">
        <v>547</v>
      </c>
      <c r="D18" s="155">
        <f>0.052</f>
        <v>5.1999999999999998E-2</v>
      </c>
    </row>
    <row r="20" spans="1:4" x14ac:dyDescent="0.45">
      <c r="B20" t="s">
        <v>548</v>
      </c>
      <c r="D20" s="62">
        <f>D8+D13</f>
        <v>5315242</v>
      </c>
    </row>
    <row r="22" spans="1:4" x14ac:dyDescent="0.45">
      <c r="A22" t="s">
        <v>537</v>
      </c>
      <c r="B22" s="159" t="s">
        <v>1</v>
      </c>
      <c r="C22" s="160"/>
      <c r="D22" s="161">
        <f>D14*D15+D9*D10*(1-D11)</f>
        <v>8.6520742227729236E-2</v>
      </c>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A7F16-D409-426E-991B-1526F9E93D18}">
  <dimension ref="B1:G69"/>
  <sheetViews>
    <sheetView workbookViewId="0">
      <selection activeCell="J36" sqref="J36"/>
    </sheetView>
  </sheetViews>
  <sheetFormatPr defaultRowHeight="14.25" x14ac:dyDescent="0.45"/>
  <cols>
    <col min="1" max="1" width="2.6640625" customWidth="1"/>
    <col min="2" max="2" width="46.19921875" customWidth="1"/>
    <col min="3" max="7" width="16" customWidth="1"/>
  </cols>
  <sheetData>
    <row r="1" spans="2:7" ht="15.75" x14ac:dyDescent="0.5">
      <c r="B1" s="81" t="s">
        <v>522</v>
      </c>
    </row>
    <row r="2" spans="2:7" x14ac:dyDescent="0.45">
      <c r="B2" s="144" t="s">
        <v>523</v>
      </c>
    </row>
    <row r="4" spans="2:7" x14ac:dyDescent="0.45">
      <c r="C4" s="146" t="s">
        <v>12</v>
      </c>
      <c r="D4" s="146" t="s">
        <v>13</v>
      </c>
      <c r="E4" s="146" t="s">
        <v>14</v>
      </c>
      <c r="F4" s="146" t="s">
        <v>15</v>
      </c>
      <c r="G4" s="146" t="s">
        <v>16</v>
      </c>
    </row>
    <row r="6" spans="2:7" x14ac:dyDescent="0.45">
      <c r="B6" s="82" t="s">
        <v>370</v>
      </c>
    </row>
    <row r="7" spans="2:7" x14ac:dyDescent="0.45">
      <c r="B7" t="s">
        <v>344</v>
      </c>
      <c r="C7" s="112">
        <f>VALUE(SUBSTITUTE(SUBSTITUTE('cf (raw)'!Q7,",",""),CHAR(160),""))</f>
        <v>-78298</v>
      </c>
      <c r="D7" s="112">
        <f>VALUE(SUBSTITUTE(SUBSTITUTE('cf (raw)'!K7,",",""),CHAR(160),""))</f>
        <v>-9547</v>
      </c>
      <c r="E7" s="112">
        <f>VALUE(SUBSTITUTE(SUBSTITUTE('cf (raw)'!AI7,",",""),CHAR(160),""))</f>
        <v>98318</v>
      </c>
      <c r="F7" s="112">
        <f>VALUE(SUBSTITUTE(SUBSTITUTE('cf (raw)'!AC7,",",""),CHAR(160),""))</f>
        <v>241124</v>
      </c>
      <c r="G7" s="112">
        <f>VALUE(SUBSTITUTE(SUBSTITUTE('cf (raw)'!W7,",",""),CHAR(160),""))</f>
        <v>303335</v>
      </c>
    </row>
    <row r="8" spans="2:7" x14ac:dyDescent="0.45">
      <c r="B8" s="145" t="s">
        <v>479</v>
      </c>
    </row>
    <row r="9" spans="2:7" x14ac:dyDescent="0.45">
      <c r="B9" t="s">
        <v>372</v>
      </c>
      <c r="C9" s="112">
        <f>VALUE(SUBSTITUTE(SUBSTITUTE('cf (raw)'!P9,",",""),CHAR(160),""))</f>
        <v>84153</v>
      </c>
      <c r="D9" s="112">
        <f>VALUE(SUBSTITUTE(SUBSTITUTE('cf (raw)'!J9,",",""),CHAR(160),""))</f>
        <v>66763</v>
      </c>
      <c r="E9" s="112">
        <f>VALUE(SUBSTITUTE(SUBSTITUTE('cf (raw)'!AH9,",",""),CHAR(160),""))</f>
        <v>55763</v>
      </c>
      <c r="F9" s="112">
        <f>VALUE(SUBSTITUTE(SUBSTITUTE('cf (raw)'!AB9,",",""),CHAR(160),""))</f>
        <v>56277</v>
      </c>
      <c r="G9" s="112">
        <f>VALUE(SUBSTITUTE(SUBSTITUTE('cf (raw)'!V9,",",""),CHAR(160),""))</f>
        <v>49517</v>
      </c>
    </row>
    <row r="10" spans="2:7" x14ac:dyDescent="0.45">
      <c r="B10" t="s">
        <v>376</v>
      </c>
      <c r="C10" s="112">
        <f>VALUE(SUBSTITUTE(SUBSTITUTE('cf (raw)'!P10,",",""),CHAR(160),""))</f>
        <v>17107</v>
      </c>
      <c r="D10" s="112">
        <f>VALUE(SUBSTITUTE(SUBSTITUTE('cf (raw)'!J10,",",""),CHAR(160),""))</f>
        <v>16257</v>
      </c>
      <c r="E10" s="112">
        <f>VALUE(SUBSTITUTE(SUBSTITUTE('cf (raw)'!AH10,",",""),CHAR(160),""))</f>
        <v>16454</v>
      </c>
      <c r="F10" s="112">
        <f>VALUE(SUBSTITUTE(SUBSTITUTE('cf (raw)'!AB10,",",""),CHAR(160),""))</f>
        <v>20597</v>
      </c>
      <c r="G10" s="112">
        <f>VALUE(SUBSTITUTE(SUBSTITUTE('cf (raw)'!V10,",",""),CHAR(160),""))</f>
        <v>11915</v>
      </c>
    </row>
    <row r="11" spans="2:7" x14ac:dyDescent="0.45">
      <c r="B11" t="s">
        <v>380</v>
      </c>
      <c r="C11" s="112">
        <f>VALUE(SUBSTITUTE(SUBSTITUTE('cf (raw)'!P11,",",""),CHAR(160),""))</f>
        <v>23618</v>
      </c>
      <c r="D11" s="112">
        <f>VALUE(SUBSTITUTE(SUBSTITUTE('cf (raw)'!J11,",",""),CHAR(160),""))</f>
        <v>21881</v>
      </c>
      <c r="E11" s="112">
        <f>VALUE(SUBSTITUTE(SUBSTITUTE('cf (raw)'!AH11,",",""),CHAR(160),""))</f>
        <v>28357</v>
      </c>
      <c r="F11" s="112">
        <f>VALUE(SUBSTITUTE(SUBSTITUTE('cf (raw)'!AB11,",",""),CHAR(160),""))</f>
        <v>43874</v>
      </c>
      <c r="G11" s="112">
        <f>VALUE(SUBSTITUTE(SUBSTITUTE('cf (raw)'!V11,",",""),CHAR(160),""))</f>
        <v>62449</v>
      </c>
    </row>
    <row r="12" spans="2:7" x14ac:dyDescent="0.45">
      <c r="B12" t="s">
        <v>384</v>
      </c>
      <c r="C12" s="112">
        <f>VALUE(SUBSTITUTE(SUBSTITUTE('cf (raw)'!P12,",",""),CHAR(160),""))</f>
        <v>18253</v>
      </c>
      <c r="D12" s="112">
        <f>VALUE(SUBSTITUTE(SUBSTITUTE('cf (raw)'!J12,",",""),CHAR(160),""))</f>
        <v>3499</v>
      </c>
      <c r="E12" s="112">
        <f>VALUE(SUBSTITUTE(SUBSTITUTE('cf (raw)'!AH12,",",""),CHAR(160),""))</f>
        <v>3664</v>
      </c>
      <c r="F12" s="112">
        <f>VALUE(SUBSTITUTE(SUBSTITUTE('cf (raw)'!AB12,",",""),CHAR(160),""))</f>
        <v>5489</v>
      </c>
      <c r="G12" s="112">
        <f>VALUE(SUBSTITUTE(SUBSTITUTE('cf (raw)'!V12,",",""),CHAR(160),""))</f>
        <v>7077</v>
      </c>
    </row>
    <row r="13" spans="2:7" x14ac:dyDescent="0.45">
      <c r="B13" t="s">
        <v>388</v>
      </c>
      <c r="C13" s="112">
        <f>VALUE(SUBSTITUTE(SUBSTITUTE('cf (raw)'!P14,",",""),CHAR(160),""))</f>
        <v>-85574</v>
      </c>
      <c r="D13" s="112">
        <f>VALUE(SUBSTITUTE(SUBSTITUTE('cf (raw)'!J14,",",""),CHAR(160),""))</f>
        <v>-32635</v>
      </c>
      <c r="E13" s="112">
        <f>VALUE(SUBSTITUTE(SUBSTITUTE('cf (raw)'!AH13,",",""),CHAR(160),""))</f>
        <v>-34646</v>
      </c>
      <c r="F13" s="112">
        <f>VALUE(SUBSTITUTE(SUBSTITUTE('cf (raw)'!AB13,",",""),CHAR(160),""))</f>
        <v>-38791</v>
      </c>
      <c r="G13" s="112">
        <f>VALUE(SUBSTITUTE(SUBSTITUTE('cf (raw)'!V13,",",""),CHAR(160),""))</f>
        <v>64945</v>
      </c>
    </row>
    <row r="14" spans="2:7" x14ac:dyDescent="0.45">
      <c r="B14" t="s">
        <v>355</v>
      </c>
      <c r="C14" s="112">
        <f>VALUE(SUBSTITUTE(SUBSTITUTE('cf (raw)'!P16,",",""),CHAR(160),""))</f>
        <v>64289</v>
      </c>
      <c r="D14" s="112">
        <f>VALUE(SUBSTITUTE(SUBSTITUTE('cf (raw)'!J16,",",""),CHAR(160),""))</f>
        <v>3505</v>
      </c>
      <c r="E14" s="112">
        <f>VALUE(SUBSTITUTE(SUBSTITUTE('cf (raw)'!AH14,",",""),CHAR(160),""))</f>
        <v>667</v>
      </c>
      <c r="F14" s="112">
        <f>VALUE(SUBSTITUTE(SUBSTITUTE('cf (raw)'!AB14,",",""),CHAR(160),""))</f>
        <v>597</v>
      </c>
      <c r="G14" s="112">
        <f>VALUE(SUBSTITUTE(SUBSTITUTE('cf (raw)'!V14,",",""),CHAR(160),""))</f>
        <v>79</v>
      </c>
    </row>
    <row r="15" spans="2:7" x14ac:dyDescent="0.45">
      <c r="B15" t="s">
        <v>389</v>
      </c>
      <c r="C15" s="112">
        <f>VALUE(SUBSTITUTE(SUBSTITUTE('cf (raw)'!P17,",",""),CHAR(160),""))</f>
        <v>10000</v>
      </c>
      <c r="D15" s="112">
        <f>IFERROR(VALUE(SUBSTITUTE(SUBSTITUTE('cf (raw)'!J17,",",""),CHAR(160),"")),0)</f>
        <v>0</v>
      </c>
      <c r="E15" s="112">
        <f>IFERROR(VALUE(SUBSTITUTE(SUBSTITUTE('cf (raw)'!D17,",",""),CHAR(160),"")),0)</f>
        <v>0</v>
      </c>
      <c r="F15" s="114">
        <v>0</v>
      </c>
      <c r="G15" s="114">
        <v>0</v>
      </c>
    </row>
    <row r="16" spans="2:7" x14ac:dyDescent="0.45">
      <c r="B16" t="s">
        <v>335</v>
      </c>
      <c r="C16" s="112">
        <f>IFERROR(VALUE(SUBSTITUTE(SUBSTITUTE('cf (raw)'!P18,",",""),CHAR(160),"")),0)</f>
        <v>0</v>
      </c>
      <c r="D16" s="112">
        <f>VALUE(SUBSTITUTE(SUBSTITUTE('cf (raw)'!J18,",",""),CHAR(160),""))</f>
        <v>38480</v>
      </c>
      <c r="E16" s="112">
        <f>IFERROR(VALUE(SUBSTITUTE(SUBSTITUTE('cf (raw)'!D18,",",""),CHAR(160),"")),0)</f>
        <v>0</v>
      </c>
      <c r="F16" s="114">
        <v>0</v>
      </c>
      <c r="G16" s="114">
        <v>0</v>
      </c>
    </row>
    <row r="17" spans="2:7" x14ac:dyDescent="0.45">
      <c r="B17" t="s">
        <v>391</v>
      </c>
      <c r="C17" s="112">
        <f>VALUE(SUBSTITUTE(SUBSTITUTE('cf (raw)'!P19,",",""),CHAR(160),""))</f>
        <v>8744</v>
      </c>
      <c r="D17" s="112">
        <f>VALUE(SUBSTITUTE(SUBSTITUTE('cf (raw)'!J19,",",""),CHAR(160),""))</f>
        <v>-624</v>
      </c>
      <c r="E17" s="112">
        <f>VALUE(SUBSTITUTE(SUBSTITUTE('cf (raw)'!AH16,",",""),CHAR(160),""))</f>
        <v>385</v>
      </c>
      <c r="F17" s="112">
        <f>VALUE(SUBSTITUTE(SUBSTITUTE('cf (raw)'!AB16,",",""),CHAR(160),""))</f>
        <v>-191</v>
      </c>
      <c r="G17" s="112">
        <f>VALUE(SUBSTITUTE(SUBSTITUTE('cf (raw)'!V16,",",""),CHAR(160),""))</f>
        <v>-25</v>
      </c>
    </row>
    <row r="18" spans="2:7" x14ac:dyDescent="0.45">
      <c r="B18" t="s">
        <v>394</v>
      </c>
      <c r="C18" s="112">
        <f>VALUE(SUBSTITUTE(SUBSTITUTE('cf (raw)'!P20,",",""),CHAR(160),""))</f>
        <v>2930</v>
      </c>
      <c r="D18" s="112">
        <f>VALUE(SUBSTITUTE(SUBSTITUTE('cf (raw)'!J20,",",""),CHAR(160),""))</f>
        <v>11678</v>
      </c>
      <c r="E18" s="112">
        <f>VALUE(SUBSTITUTE(SUBSTITUTE('cf (raw)'!AH17,",",""),CHAR(160),""))</f>
        <v>-169</v>
      </c>
      <c r="F18" s="112">
        <f>VALUE(SUBSTITUTE(SUBSTITUTE('cf (raw)'!AB17,",",""),CHAR(160),""))</f>
        <v>-895</v>
      </c>
      <c r="G18" s="112">
        <f>VALUE(SUBSTITUTE(SUBSTITUTE('cf (raw)'!V17,",",""),CHAR(160),""))</f>
        <v>-2237</v>
      </c>
    </row>
    <row r="19" spans="2:7" x14ac:dyDescent="0.45">
      <c r="B19" s="145" t="s">
        <v>524</v>
      </c>
    </row>
    <row r="20" spans="2:7" x14ac:dyDescent="0.45">
      <c r="B20" t="s">
        <v>398</v>
      </c>
      <c r="C20" s="112">
        <f>VALUE(SUBSTITUTE(SUBSTITUTE('cf (raw)'!P22,",",""),CHAR(160),""))</f>
        <v>60242</v>
      </c>
      <c r="D20" s="112">
        <f>VALUE(SUBSTITUTE(SUBSTITUTE('cf (raw)'!J22,",",""),CHAR(160),""))</f>
        <v>5064</v>
      </c>
      <c r="E20" s="112">
        <f>VALUE(SUBSTITUTE(SUBSTITUTE('cf (raw)'!AH19,",",""),CHAR(160),""))</f>
        <v>-19494</v>
      </c>
      <c r="F20" s="112">
        <f>VALUE(SUBSTITUTE(SUBSTITUTE('cf (raw)'!AB19,",",""),CHAR(160),""))</f>
        <v>-49138</v>
      </c>
      <c r="G20" s="112">
        <f>VALUE(SUBSTITUTE(SUBSTITUTE('cf (raw)'!V19,",",""),CHAR(160),""))</f>
        <v>-4215</v>
      </c>
    </row>
    <row r="21" spans="2:7" x14ac:dyDescent="0.45">
      <c r="B21" t="s">
        <v>401</v>
      </c>
      <c r="C21" s="112">
        <f>VALUE(SUBSTITUTE(SUBSTITUTE('cf (raw)'!P23,",",""),CHAR(160),""))</f>
        <v>-3721</v>
      </c>
      <c r="D21" s="112">
        <f>VALUE(SUBSTITUTE(SUBSTITUTE('cf (raw)'!J23,",",""),CHAR(160),""))</f>
        <v>-68124</v>
      </c>
      <c r="E21" s="112">
        <f>VALUE(SUBSTITUTE(SUBSTITUTE('cf (raw)'!AH20,",",""),CHAR(160),""))</f>
        <v>-52118</v>
      </c>
      <c r="F21" s="112">
        <f>VALUE(SUBSTITUTE(SUBSTITUTE('cf (raw)'!AB20,",",""),CHAR(160),""))</f>
        <v>5969</v>
      </c>
      <c r="G21" s="112">
        <f>VALUE(SUBSTITUTE(SUBSTITUTE('cf (raw)'!V20,",",""),CHAR(160),""))</f>
        <v>32682</v>
      </c>
    </row>
    <row r="22" spans="2:7" x14ac:dyDescent="0.45">
      <c r="B22" t="s">
        <v>402</v>
      </c>
      <c r="C22" s="112">
        <f>VALUE(SUBSTITUTE(SUBSTITUTE('cf (raw)'!P24,",",""),CHAR(160),""))</f>
        <v>41461</v>
      </c>
      <c r="D22" s="112">
        <f>VALUE(SUBSTITUTE(SUBSTITUTE('cf (raw)'!J24,",",""),CHAR(160),""))</f>
        <v>-16695</v>
      </c>
      <c r="E22" s="112">
        <f>VALUE(SUBSTITUTE(SUBSTITUTE('cf (raw)'!AH21,",",""),CHAR(160),""))</f>
        <v>-42410</v>
      </c>
      <c r="F22" s="112">
        <f>VALUE(SUBSTITUTE(SUBSTITUTE('cf (raw)'!AB21,",",""),CHAR(160),""))</f>
        <v>15165</v>
      </c>
      <c r="G22" s="112">
        <f>VALUE(SUBSTITUTE(SUBSTITUTE('cf (raw)'!V21,",",""),CHAR(160),""))</f>
        <v>-43120</v>
      </c>
    </row>
    <row r="23" spans="2:7" x14ac:dyDescent="0.45">
      <c r="B23" t="s">
        <v>404</v>
      </c>
      <c r="C23" s="112">
        <f>VALUE(SUBSTITUTE(SUBSTITUTE('cf (raw)'!P25,",",""),CHAR(160),""))</f>
        <v>4515</v>
      </c>
      <c r="D23" s="112">
        <f>VALUE(SUBSTITUTE(SUBSTITUTE('cf (raw)'!J25,",",""),CHAR(160),""))</f>
        <v>-5436</v>
      </c>
      <c r="E23" s="112">
        <f>VALUE(SUBSTITUTE(SUBSTITUTE('cf (raw)'!AH22,",",""),CHAR(160),""))</f>
        <v>2317</v>
      </c>
      <c r="F23" s="112">
        <f>VALUE(SUBSTITUTE(SUBSTITUTE('cf (raw)'!AB22,",",""),CHAR(160),""))</f>
        <v>-6789</v>
      </c>
      <c r="G23" s="112">
        <f>VALUE(SUBSTITUTE(SUBSTITUTE('cf (raw)'!V22,",",""),CHAR(160),""))</f>
        <v>-13125</v>
      </c>
    </row>
    <row r="24" spans="2:7" x14ac:dyDescent="0.45">
      <c r="B24" t="s">
        <v>407</v>
      </c>
      <c r="C24" s="112">
        <f>VALUE(SUBSTITUTE(SUBSTITUTE('cf (raw)'!P26,",",""),CHAR(160),""))</f>
        <v>-23330</v>
      </c>
      <c r="D24" s="112">
        <f>VALUE(SUBSTITUTE(SUBSTITUTE('cf (raw)'!J26,",",""),CHAR(160),""))</f>
        <v>45085</v>
      </c>
      <c r="E24" s="112">
        <f>VALUE(SUBSTITUTE(SUBSTITUTE('cf (raw)'!AH23,",",""),CHAR(160),""))</f>
        <v>-43657</v>
      </c>
      <c r="F24" s="112">
        <f>VALUE(SUBSTITUTE(SUBSTITUTE('cf (raw)'!AB23,",",""),CHAR(160),""))</f>
        <v>-35388</v>
      </c>
      <c r="G24" s="112">
        <f>VALUE(SUBSTITUTE(SUBSTITUTE('cf (raw)'!V23,",",""),CHAR(160),""))</f>
        <v>6276</v>
      </c>
    </row>
    <row r="25" spans="2:7" x14ac:dyDescent="0.45">
      <c r="B25" t="s">
        <v>409</v>
      </c>
      <c r="C25" s="112">
        <f>VALUE(SUBSTITUTE(SUBSTITUTE('cf (raw)'!P27,",",""),CHAR(160),""))</f>
        <v>30915</v>
      </c>
      <c r="D25" s="112">
        <f>VALUE(SUBSTITUTE(SUBSTITUTE('cf (raw)'!J27,",",""),CHAR(160),""))</f>
        <v>-21749</v>
      </c>
      <c r="E25" s="112">
        <f>VALUE(SUBSTITUTE(SUBSTITUTE('cf (raw)'!AH24,",",""),CHAR(160),""))</f>
        <v>44700</v>
      </c>
      <c r="F25" s="112">
        <f>VALUE(SUBSTITUTE(SUBSTITUTE('cf (raw)'!AB24,",",""),CHAR(160),""))</f>
        <v>3784</v>
      </c>
      <c r="G25" s="112">
        <f>VALUE(SUBSTITUTE(SUBSTITUTE('cf (raw)'!V24,",",""),CHAR(160),""))</f>
        <v>-18623</v>
      </c>
    </row>
    <row r="26" spans="2:7" x14ac:dyDescent="0.45">
      <c r="B26" t="s">
        <v>412</v>
      </c>
      <c r="C26" s="112">
        <f>VALUE(SUBSTITUTE(SUBSTITUTE('cf (raw)'!P28,",",""),CHAR(160),""))</f>
        <v>-29366</v>
      </c>
      <c r="D26" s="112">
        <f>VALUE(SUBSTITUTE(SUBSTITUTE('cf (raw)'!J28,",",""),CHAR(160),""))</f>
        <v>18466</v>
      </c>
      <c r="E26" s="112">
        <f>VALUE(SUBSTITUTE(SUBSTITUTE('cf (raw)'!AH25,",",""),CHAR(160),""))</f>
        <v>28329</v>
      </c>
      <c r="F26" s="112">
        <f>VALUE(SUBSTITUTE(SUBSTITUTE('cf (raw)'!AB25,",",""),CHAR(160),""))</f>
        <v>29319</v>
      </c>
      <c r="G26" s="112">
        <f>VALUE(SUBSTITUTE(SUBSTITUTE('cf (raw)'!V25,",",""),CHAR(160),""))</f>
        <v>28624</v>
      </c>
    </row>
    <row r="27" spans="2:7" x14ac:dyDescent="0.45">
      <c r="B27" t="s">
        <v>415</v>
      </c>
      <c r="C27" s="112">
        <f>VALUE(SUBSTITUTE(SUBSTITUTE('cf (raw)'!P29,",",""),CHAR(160),""))</f>
        <v>-8169</v>
      </c>
      <c r="D27" s="112">
        <f>VALUE(SUBSTITUTE(SUBSTITUTE('cf (raw)'!J29,",",""),CHAR(160),""))</f>
        <v>-5497</v>
      </c>
      <c r="E27" s="112">
        <f>VALUE(SUBSTITUTE(SUBSTITUTE('cf (raw)'!AH26,",",""),CHAR(160),""))</f>
        <v>-3778</v>
      </c>
      <c r="F27" s="112">
        <f>VALUE(SUBSTITUTE(SUBSTITUTE('cf (raw)'!AB26,",",""),CHAR(160),""))</f>
        <v>210</v>
      </c>
      <c r="G27" s="112">
        <f>VALUE(SUBSTITUTE(SUBSTITUTE('cf (raw)'!V26,",",""),CHAR(160),""))</f>
        <v>-4436</v>
      </c>
    </row>
    <row r="28" spans="2:7" x14ac:dyDescent="0.45">
      <c r="B28" t="s">
        <v>265</v>
      </c>
      <c r="C28" s="112">
        <f>VALUE(SUBSTITUTE(SUBSTITUTE('cf (raw)'!P30,",",""),CHAR(160),""))</f>
        <v>15967</v>
      </c>
      <c r="D28" s="112">
        <f>VALUE(SUBSTITUTE(SUBSTITUTE('cf (raw)'!J30,",",""),CHAR(160),""))</f>
        <v>-40981</v>
      </c>
      <c r="E28" s="112">
        <f>VALUE(SUBSTITUTE(SUBSTITUTE('cf (raw)'!AH27,",",""),CHAR(160),""))</f>
        <v>29866</v>
      </c>
      <c r="F28" s="112">
        <f>VALUE(SUBSTITUTE(SUBSTITUTE('cf (raw)'!AB27,",",""),CHAR(160),""))</f>
        <v>-31011</v>
      </c>
      <c r="G28" s="112">
        <f>VALUE(SUBSTITUTE(SUBSTITUTE('cf (raw)'!V27,",",""),CHAR(160),""))</f>
        <v>-22427</v>
      </c>
    </row>
    <row r="29" spans="2:7" x14ac:dyDescent="0.45">
      <c r="B29" t="s">
        <v>418</v>
      </c>
      <c r="C29" s="112">
        <f>VALUE(SUBSTITUTE(SUBSTITUTE('cf (raw)'!P31,",",""),CHAR(160),""))</f>
        <v>1058</v>
      </c>
      <c r="D29" s="112">
        <f>VALUE(SUBSTITUTE(SUBSTITUTE('cf (raw)'!J31,",",""),CHAR(160),""))</f>
        <v>-4890</v>
      </c>
      <c r="E29" s="112">
        <f>VALUE(SUBSTITUTE(SUBSTITUTE('cf (raw)'!AH28,",",""),CHAR(160),""))</f>
        <v>12423</v>
      </c>
      <c r="F29" s="112">
        <f>VALUE(SUBSTITUTE(SUBSTITUTE('cf (raw)'!AB28,",",""),CHAR(160),""))</f>
        <v>-22027</v>
      </c>
      <c r="G29" s="112">
        <f>VALUE(SUBSTITUTE(SUBSTITUTE('cf (raw)'!V28,",",""),CHAR(160),""))</f>
        <v>-52739</v>
      </c>
    </row>
    <row r="30" spans="2:7" x14ac:dyDescent="0.45">
      <c r="B30" s="82" t="s">
        <v>421</v>
      </c>
      <c r="C30" s="121">
        <f>C7+SUM(C9:C18)+SUM(C20:C29)</f>
        <v>154794</v>
      </c>
      <c r="D30" s="121">
        <f>D7+SUM(D9:D18)+SUM(D20:D29)</f>
        <v>24500</v>
      </c>
      <c r="E30" s="121">
        <f>E7+SUM(E9:E18)+SUM(E20:E29)</f>
        <v>124971</v>
      </c>
      <c r="F30" s="121">
        <f>F7+SUM(F9:F18)+SUM(F20:F29)</f>
        <v>238175</v>
      </c>
      <c r="G30" s="121">
        <f>G7+SUM(G9:G18)+SUM(G20:G29)</f>
        <v>405952</v>
      </c>
    </row>
    <row r="31" spans="2:7" x14ac:dyDescent="0.45">
      <c r="B31" s="82"/>
      <c r="C31" s="113"/>
      <c r="D31" s="113"/>
      <c r="E31" s="113"/>
      <c r="F31" s="113"/>
      <c r="G31" s="113"/>
    </row>
    <row r="32" spans="2:7" x14ac:dyDescent="0.45">
      <c r="B32" s="82" t="s">
        <v>41</v>
      </c>
      <c r="C32" s="113">
        <f>SUM(C20:C29)</f>
        <v>89572</v>
      </c>
      <c r="D32" s="113">
        <f t="shared" ref="D32:G32" si="0">SUM(D20:D29)</f>
        <v>-94757</v>
      </c>
      <c r="E32" s="113">
        <f t="shared" si="0"/>
        <v>-43822</v>
      </c>
      <c r="F32" s="113">
        <f t="shared" si="0"/>
        <v>-89906</v>
      </c>
      <c r="G32" s="113">
        <f t="shared" si="0"/>
        <v>-91103</v>
      </c>
    </row>
    <row r="34" spans="2:7" x14ac:dyDescent="0.45">
      <c r="B34" s="82" t="s">
        <v>425</v>
      </c>
    </row>
    <row r="35" spans="2:7" x14ac:dyDescent="0.45">
      <c r="B35" t="s">
        <v>525</v>
      </c>
      <c r="C35" s="112">
        <f>VALUE(SUBSTITUTE(SUBSTITUTE('cf (raw)'!P35,",",""),CHAR(160),""))</f>
        <v>3142</v>
      </c>
      <c r="D35" s="112">
        <f>VALUE(SUBSTITUTE(SUBSTITUTE('cf (raw)'!J35,",",""),CHAR(160),""))</f>
        <v>55933</v>
      </c>
      <c r="E35" s="112">
        <f>VALUE(SUBSTITUTE(SUBSTITUTE('cf (raw)'!AH32,",",""),CHAR(160),""))</f>
        <v>-772</v>
      </c>
      <c r="F35" s="112">
        <f>VALUE(SUBSTITUTE(SUBSTITUTE('cf (raw)'!AB32,",",""),CHAR(160),""))</f>
        <v>405</v>
      </c>
      <c r="G35" s="112">
        <f>VALUE(SUBSTITUTE(SUBSTITUTE('cf (raw)'!V32,",",""),CHAR(160),""))</f>
        <v>278</v>
      </c>
    </row>
    <row r="36" spans="2:7" x14ac:dyDescent="0.45">
      <c r="B36" t="s">
        <v>429</v>
      </c>
      <c r="C36" s="112">
        <f>VALUE(SUBSTITUTE(SUBSTITUTE('cf (raw)'!P36,",",""),CHAR(160),""))</f>
        <v>-34682</v>
      </c>
      <c r="D36" s="112">
        <f>VALUE(SUBSTITUTE(SUBSTITUTE('cf (raw)'!J36,",",""),CHAR(160),""))</f>
        <v>-19747</v>
      </c>
      <c r="E36" s="112">
        <f>VALUE(SUBSTITUTE(SUBSTITUTE('cf (raw)'!AH33,",",""),CHAR(160),""))</f>
        <v>-26884</v>
      </c>
      <c r="F36" s="112">
        <f>VALUE(SUBSTITUTE(SUBSTITUTE('cf (raw)'!AB33,",",""),CHAR(160),""))</f>
        <v>-30562</v>
      </c>
      <c r="G36" s="112">
        <f>VALUE(SUBSTITUTE(SUBSTITUTE('cf (raw)'!V33,",",""),CHAR(160),""))</f>
        <v>-22891</v>
      </c>
    </row>
    <row r="37" spans="2:7" x14ac:dyDescent="0.45">
      <c r="B37" t="s">
        <v>430</v>
      </c>
      <c r="C37" s="112">
        <f>VALUE(SUBSTITUTE(SUBSTITUTE('cf (raw)'!P37,",",""),CHAR(160),""))</f>
        <v>-8670</v>
      </c>
      <c r="D37" s="112">
        <f>VALUE(SUBSTITUTE(SUBSTITUTE('cf (raw)'!J37,",",""),CHAR(160),""))</f>
        <v>23</v>
      </c>
      <c r="E37" s="112">
        <f>IFERROR(VALUE(SUBSTITUTE(SUBSTITUTE('cf (raw)'!AH34,",",""),CHAR(160),"")),0)</f>
        <v>0</v>
      </c>
      <c r="F37" s="112">
        <f>VALUE(SUBSTITUTE(SUBSTITUTE('cf (raw)'!AB34,",",""),CHAR(160),""))</f>
        <v>-34105</v>
      </c>
      <c r="G37" s="112">
        <f>VALUE(SUBSTITUTE(SUBSTITUTE('cf (raw)'!V34,",",""),CHAR(160),""))</f>
        <v>-325044</v>
      </c>
    </row>
    <row r="38" spans="2:7" x14ac:dyDescent="0.45">
      <c r="B38" t="s">
        <v>432</v>
      </c>
      <c r="C38" s="112">
        <f>VALUE(SUBSTITUTE(SUBSTITUTE('cf (raw)'!P38,",",""),CHAR(160),""))</f>
        <v>5326</v>
      </c>
      <c r="D38" s="112">
        <f>VALUE(SUBSTITUTE(SUBSTITUTE('cf (raw)'!J38,",",""),CHAR(160),""))</f>
        <v>4307</v>
      </c>
      <c r="E38" s="112">
        <f>VALUE(SUBSTITUTE(SUBSTITUTE('cf (raw)'!AH35,",",""),CHAR(160),""))</f>
        <v>4348</v>
      </c>
      <c r="F38" s="112">
        <f>VALUE(SUBSTITUTE(SUBSTITUTE('cf (raw)'!AB35,",",""),CHAR(160),""))</f>
        <v>850</v>
      </c>
      <c r="G38" s="112">
        <f>VALUE(SUBSTITUTE(SUBSTITUTE('cf (raw)'!V35,",",""),CHAR(160),""))</f>
        <v>-1995</v>
      </c>
    </row>
    <row r="39" spans="2:7" x14ac:dyDescent="0.45">
      <c r="B39" s="82" t="s">
        <v>436</v>
      </c>
      <c r="C39" s="121">
        <f>SUM(C35:C38)</f>
        <v>-34884</v>
      </c>
      <c r="D39" s="121">
        <f>SUM(D35:D38)</f>
        <v>40516</v>
      </c>
      <c r="E39" s="121">
        <f>SUM(E35:E38)</f>
        <v>-23308</v>
      </c>
      <c r="F39" s="121">
        <f>SUM(F35:F38)</f>
        <v>-63412</v>
      </c>
      <c r="G39" s="121">
        <f>SUM(G35:G38)</f>
        <v>-349652</v>
      </c>
    </row>
    <row r="41" spans="2:7" x14ac:dyDescent="0.45">
      <c r="B41" s="82" t="s">
        <v>438</v>
      </c>
    </row>
    <row r="42" spans="2:7" x14ac:dyDescent="0.45">
      <c r="B42" t="s">
        <v>439</v>
      </c>
      <c r="C42" s="112">
        <f>VALUE(SUBSTITUTE(SUBSTITUTE('cf (raw)'!P42,",",""),CHAR(160),""))</f>
        <v>460000</v>
      </c>
      <c r="D42" s="112">
        <f>IFERROR(VALUE(SUBSTITUTE(SUBSTITUTE('cf (raw)'!J42,",",""),CHAR(160),"")),0)</f>
        <v>0</v>
      </c>
      <c r="E42" s="112">
        <f>IFERROR(VALUE(SUBSTITUTE(SUBSTITUTE('cf (raw)'!AH39,",",""),CHAR(160),"")),0)</f>
        <v>0</v>
      </c>
      <c r="F42" s="112">
        <f>VALUE(SUBSTITUTE(SUBSTITUTE('cf (raw)'!AB39,",",""),CHAR(160),""))</f>
        <v>805000</v>
      </c>
      <c r="G42" s="112">
        <f>IFERROR(VALUE(SUBSTITUTE(SUBSTITUTE('cf (raw)'!V39,",",""),CHAR(160),"")),0)</f>
        <v>0</v>
      </c>
    </row>
    <row r="43" spans="2:7" x14ac:dyDescent="0.45">
      <c r="B43" t="s">
        <v>441</v>
      </c>
      <c r="C43" s="112">
        <f>VALUE(SUBSTITUTE(SUBSTITUTE('cf (raw)'!P43,",",""),CHAR(160),""))</f>
        <v>-946094</v>
      </c>
      <c r="D43" s="112">
        <f>IFERROR(VALUE(SUBSTITUTE(SUBSTITUTE('cf (raw)'!J43,",",""),CHAR(160),"")),0)</f>
        <v>0</v>
      </c>
      <c r="E43" s="112">
        <f>IFERROR(VALUE(SUBSTITUTE(SUBSTITUTE('cf (raw)'!D43,",",""),CHAR(160),"")),0)</f>
        <v>0</v>
      </c>
      <c r="F43" s="114">
        <v>0</v>
      </c>
      <c r="G43" s="114">
        <v>0</v>
      </c>
    </row>
    <row r="44" spans="2:7" x14ac:dyDescent="0.45">
      <c r="B44" t="s">
        <v>442</v>
      </c>
      <c r="C44" s="112">
        <f>VALUE(SUBSTITUTE(SUBSTITUTE('cf (raw)'!P44,",",""),CHAR(160),""))</f>
        <v>5080</v>
      </c>
      <c r="D44" s="112">
        <f>VALUE(SUBSTITUTE(SUBSTITUTE('cf (raw)'!J44,",",""),CHAR(160),""))</f>
        <v>3452</v>
      </c>
      <c r="E44" s="112">
        <f>VALUE(SUBSTITUTE(SUBSTITUTE('cf (raw)'!AH40,",",""),CHAR(160),""))</f>
        <v>3674</v>
      </c>
      <c r="F44" s="112">
        <f>VALUE(SUBSTITUTE(SUBSTITUTE('cf (raw)'!AB40,",",""),CHAR(160),""))</f>
        <v>8321</v>
      </c>
      <c r="G44" s="112">
        <f>VALUE(SUBSTITUTE(SUBSTITUTE('cf (raw)'!V40,",",""),CHAR(160),""))</f>
        <v>7320</v>
      </c>
    </row>
    <row r="45" spans="2:7" x14ac:dyDescent="0.45">
      <c r="B45" t="s">
        <v>446</v>
      </c>
      <c r="C45" s="112">
        <f>VALUE(SUBSTITUTE(SUBSTITUTE('cf (raw)'!P45,",",""),CHAR(160),""))</f>
        <v>389419</v>
      </c>
      <c r="D45" s="112">
        <f>IFERROR(VALUE(SUBSTITUTE(SUBSTITUTE('cf (raw)'!J45,",",""),CHAR(160),"")),0)</f>
        <v>0</v>
      </c>
      <c r="E45" s="112">
        <f>IFERROR(VALUE(SUBSTITUTE(SUBSTITUTE('cf (raw)'!D45,",",""),CHAR(160),"")),0)</f>
        <v>0</v>
      </c>
      <c r="F45" s="114">
        <v>0</v>
      </c>
      <c r="G45" s="114">
        <v>0</v>
      </c>
    </row>
    <row r="46" spans="2:7" x14ac:dyDescent="0.45">
      <c r="B46" t="s">
        <v>448</v>
      </c>
      <c r="C46" s="112">
        <f>VALUE(SUBSTITUTE(SUBSTITUTE('cf (raw)'!P46,",",""),CHAR(160),""))</f>
        <v>45349</v>
      </c>
      <c r="D46" s="112">
        <f>IFERROR(VALUE(SUBSTITUTE(SUBSTITUTE('cf (raw)'!J46,",",""),CHAR(160),"")),0)</f>
        <v>0</v>
      </c>
      <c r="E46" s="112">
        <f>IFERROR(VALUE(SUBSTITUTE(SUBSTITUTE('cf (raw)'!D46,",",""),CHAR(160),"")),0)</f>
        <v>0</v>
      </c>
      <c r="F46" s="114">
        <v>0</v>
      </c>
      <c r="G46" s="114">
        <v>0</v>
      </c>
    </row>
    <row r="47" spans="2:7" x14ac:dyDescent="0.45">
      <c r="B47" t="s">
        <v>450</v>
      </c>
      <c r="C47" s="112">
        <f>VALUE(SUBSTITUTE(SUBSTITUTE('cf (raw)'!P47,",",""),CHAR(160),""))</f>
        <v>-84139</v>
      </c>
      <c r="D47" s="112">
        <f>IFERROR(VALUE(SUBSTITUTE(SUBSTITUTE('cf (raw)'!J47,",",""),CHAR(160),"")),0)</f>
        <v>0</v>
      </c>
      <c r="E47" s="112">
        <f>IFERROR(VALUE(SUBSTITUTE(SUBSTITUTE('cf (raw)'!D47,",",""),CHAR(160),"")),0)</f>
        <v>0</v>
      </c>
      <c r="F47" s="114">
        <v>0</v>
      </c>
      <c r="G47" s="114">
        <v>0</v>
      </c>
    </row>
    <row r="48" spans="2:7" x14ac:dyDescent="0.45">
      <c r="B48" t="s">
        <v>507</v>
      </c>
      <c r="C48" s="114">
        <v>0</v>
      </c>
      <c r="D48" s="114">
        <v>0</v>
      </c>
      <c r="E48" s="112">
        <f>IFERROR(VALUE(SUBSTITUTE(SUBSTITUTE('cf (raw)'!AH41,",",""),CHAR(160),"")),0)</f>
        <v>0</v>
      </c>
      <c r="F48" s="112">
        <f>IFERROR(VALUE(SUBSTITUTE(SUBSTITUTE('cf (raw)'!AB41,",",""),CHAR(160),"")),0)</f>
        <v>-108997</v>
      </c>
      <c r="G48" s="112">
        <f>IFERROR(VALUE(SUBSTITUTE(SUBSTITUTE('cf (raw)'!V41,",",""),CHAR(160),"")),0)</f>
        <v>0</v>
      </c>
    </row>
    <row r="49" spans="2:7" x14ac:dyDescent="0.45">
      <c r="B49" t="s">
        <v>451</v>
      </c>
      <c r="C49" s="112">
        <f>VALUE(SUBSTITUTE(SUBSTITUTE('cf (raw)'!P48,",",""),CHAR(160),""))</f>
        <v>-8028</v>
      </c>
      <c r="D49" s="112">
        <f>VALUE(SUBSTITUTE(SUBSTITUTE('cf (raw)'!J48,",",""),CHAR(160),""))</f>
        <v>-16972</v>
      </c>
      <c r="E49" s="112">
        <f>IFERROR(VALUE(SUBSTITUTE(SUBSTITUTE('cf (raw)'!AH42,",",""),CHAR(160),"")),0)</f>
        <v>0</v>
      </c>
      <c r="F49" s="112">
        <f>IFERROR(VALUE(SUBSTITUTE(SUBSTITUTE('cf (raw)'!AB42,",",""),CHAR(160),"")),0)</f>
        <v>-100000</v>
      </c>
      <c r="G49" s="112">
        <f>IFERROR(VALUE(SUBSTITUTE(SUBSTITUTE('cf (raw)'!V42,",",""),CHAR(160),"")),0)</f>
        <v>-100000</v>
      </c>
    </row>
    <row r="50" spans="2:7" x14ac:dyDescent="0.45">
      <c r="B50" t="s">
        <v>452</v>
      </c>
      <c r="C50" s="112">
        <f>VALUE(SUBSTITUTE(SUBSTITUTE('cf (raw)'!P49,",",""),CHAR(160),""))</f>
        <v>-12031</v>
      </c>
      <c r="D50" s="112">
        <f>VALUE(SUBSTITUTE(SUBSTITUTE('cf (raw)'!J49,",",""),CHAR(160),""))</f>
        <v>-697</v>
      </c>
      <c r="E50" s="112">
        <f>VALUE(SUBSTITUTE(SUBSTITUTE('cf (raw)'!AH43,",",""),CHAR(160),""))</f>
        <v>-2471</v>
      </c>
      <c r="F50" s="112">
        <f>VALUE(SUBSTITUTE(SUBSTITUTE('cf (raw)'!AB43,",",""),CHAR(160),""))</f>
        <v>-21872</v>
      </c>
      <c r="G50" s="112">
        <f>VALUE(SUBSTITUTE(SUBSTITUTE('cf (raw)'!V43,",",""),CHAR(160),""))</f>
        <v>-2213</v>
      </c>
    </row>
    <row r="51" spans="2:7" x14ac:dyDescent="0.45">
      <c r="B51" t="s">
        <v>453</v>
      </c>
      <c r="C51" s="112">
        <f>VALUE(SUBSTITUTE(SUBSTITUTE('cf (raw)'!P50,",",""),CHAR(160),""))</f>
        <v>-2443</v>
      </c>
      <c r="D51" s="112">
        <f>VALUE(SUBSTITUTE(SUBSTITUTE('cf (raw)'!J50,",",""),CHAR(160),""))</f>
        <v>-4520</v>
      </c>
      <c r="E51" s="112">
        <f>VALUE(SUBSTITUTE(SUBSTITUTE('cf (raw)'!AH44,",",""),CHAR(160),""))</f>
        <v>-4711</v>
      </c>
      <c r="F51" s="112">
        <f>VALUE(SUBSTITUTE(SUBSTITUTE('cf (raw)'!AB44,",",""),CHAR(160),""))</f>
        <v>-2879</v>
      </c>
      <c r="G51" s="112">
        <f>VALUE(SUBSTITUTE(SUBSTITUTE('cf (raw)'!V44,",",""),CHAR(160),""))</f>
        <v>-2569</v>
      </c>
    </row>
    <row r="52" spans="2:7" x14ac:dyDescent="0.45">
      <c r="B52" s="82" t="s">
        <v>508</v>
      </c>
      <c r="C52" s="121">
        <f>SUM(C42:C51)</f>
        <v>-152887</v>
      </c>
      <c r="D52" s="121">
        <f>SUM(D42:D51)</f>
        <v>-18737</v>
      </c>
      <c r="E52" s="121">
        <f>SUM(E42:E51)</f>
        <v>-3508</v>
      </c>
      <c r="F52" s="121">
        <f>SUM(F42:F51)</f>
        <v>579573</v>
      </c>
      <c r="G52" s="121">
        <f>SUM(G42:G51)</f>
        <v>-97462</v>
      </c>
    </row>
    <row r="54" spans="2:7" x14ac:dyDescent="0.45">
      <c r="B54" t="s">
        <v>455</v>
      </c>
      <c r="C54" s="112">
        <f>VALUE(SUBSTITUTE(SUBSTITUTE('cf (raw)'!P53,",",""),CHAR(160),""))</f>
        <v>-9750</v>
      </c>
      <c r="D54" s="112">
        <f>IFERROR(VALUE(SUBSTITUTE(SUBSTITUTE('cf (raw)'!J53,",",""),CHAR(160),"")),0)</f>
        <v>0</v>
      </c>
      <c r="E54" s="112">
        <f>IFERROR(VALUE(SUBSTITUTE(SUBSTITUTE('cf (raw)'!D53,",",""),CHAR(160),"")),0)</f>
        <v>0</v>
      </c>
      <c r="F54" s="114">
        <v>0</v>
      </c>
      <c r="G54" s="114">
        <v>0</v>
      </c>
    </row>
    <row r="55" spans="2:7" x14ac:dyDescent="0.45">
      <c r="B55" t="s">
        <v>456</v>
      </c>
      <c r="C55" s="112">
        <f>VALUE(SUBSTITUTE(SUBSTITUTE('cf (raw)'!P55,",",""),CHAR(160),""))</f>
        <v>-1627</v>
      </c>
      <c r="D55" s="112">
        <f>VALUE(SUBSTITUTE(SUBSTITUTE('cf (raw)'!J55,",",""),CHAR(160),""))</f>
        <v>-6851</v>
      </c>
      <c r="E55" s="112">
        <f>VALUE(SUBSTITUTE(SUBSTITUTE('cf (raw)'!AH47,",",""),CHAR(160),""))</f>
        <v>1887</v>
      </c>
      <c r="F55" s="112">
        <f>VALUE(SUBSTITUTE(SUBSTITUTE('cf (raw)'!AB47,",",""),CHAR(160),""))</f>
        <v>-5148</v>
      </c>
      <c r="G55" s="112">
        <f>VALUE(SUBSTITUTE(SUBSTITUTE('cf (raw)'!V47,",",""),CHAR(160),""))</f>
        <v>10322</v>
      </c>
    </row>
    <row r="56" spans="2:7" x14ac:dyDescent="0.45">
      <c r="B56" s="82" t="s">
        <v>458</v>
      </c>
      <c r="C56" s="121">
        <f>C30+C39+C52+C54+C55</f>
        <v>-44354</v>
      </c>
      <c r="D56" s="121">
        <f>D30+D39+D52+D54+D55</f>
        <v>39428</v>
      </c>
      <c r="E56" s="121">
        <f>E30+E39+E52+E54+E55</f>
        <v>100042</v>
      </c>
      <c r="F56" s="121">
        <f>F30+F39+F52+F54+F55</f>
        <v>749188</v>
      </c>
      <c r="G56" s="121">
        <f>G30+G39+G52+G54+G55</f>
        <v>-30840</v>
      </c>
    </row>
    <row r="57" spans="2:7" x14ac:dyDescent="0.45">
      <c r="B57" t="s">
        <v>461</v>
      </c>
      <c r="C57" s="112">
        <f>VALUE(SUBSTITUTE(SUBSTITUTE('cf (raw)'!P57,",",""),CHAR(160),""))</f>
        <v>206933</v>
      </c>
      <c r="D57" s="112">
        <f>VALUE(SUBSTITUTE(SUBSTITUTE('cf (raw)'!J57,",",""),CHAR(160),""))</f>
        <v>162579</v>
      </c>
      <c r="E57" s="112">
        <f>VALUE(SUBSTITUTE(SUBSTITUTE('cf (raw)'!AH49,",",""),CHAR(160),""))</f>
        <v>202007</v>
      </c>
      <c r="F57" s="112">
        <f>VALUE(SUBSTITUTE(SUBSTITUTE('cf (raw)'!AB49,",",""),CHAR(160),""))</f>
        <v>302049</v>
      </c>
      <c r="G57" s="112">
        <f>VALUE(SUBSTITUTE(SUBSTITUTE('cf (raw)'!V49,",",""),CHAR(160),""))</f>
        <v>1051237</v>
      </c>
    </row>
    <row r="58" spans="2:7" ht="14.65" thickBot="1" x14ac:dyDescent="0.5">
      <c r="B58" s="82" t="s">
        <v>465</v>
      </c>
      <c r="C58" s="147">
        <f>C56+C57</f>
        <v>162579</v>
      </c>
      <c r="D58" s="147">
        <f>D56+D57</f>
        <v>202007</v>
      </c>
      <c r="E58" s="147">
        <f>E56+E57</f>
        <v>302049</v>
      </c>
      <c r="F58" s="147">
        <f>F56+F57</f>
        <v>1051237</v>
      </c>
      <c r="G58" s="147">
        <f>G56+G57</f>
        <v>1020397</v>
      </c>
    </row>
    <row r="59" spans="2:7" ht="14.65" thickTop="1" x14ac:dyDescent="0.45"/>
    <row r="60" spans="2:7" x14ac:dyDescent="0.45">
      <c r="B60" s="82" t="s">
        <v>526</v>
      </c>
    </row>
    <row r="61" spans="2:7" x14ac:dyDescent="0.45">
      <c r="B61" t="s">
        <v>527</v>
      </c>
      <c r="C61" s="112">
        <f>VALUE(SUBSTITUTE(SUBSTITUTE('cf (raw)'!Q65,",",""),CHAR(160),""))</f>
        <v>7073</v>
      </c>
      <c r="D61" s="112">
        <f>VALUE(SUBSTITUTE(SUBSTITUTE('cf (raw)'!K65,",",""),CHAR(160),""))</f>
        <v>11915</v>
      </c>
      <c r="E61" s="112">
        <f>VALUE(SUBSTITUTE(SUBSTITUTE('cf (raw)'!AI54,",",""),CHAR(160),""))</f>
        <v>54550</v>
      </c>
      <c r="F61" s="112">
        <f>VALUE(SUBSTITUTE(SUBSTITUTE('cf (raw)'!AC54,",",""),CHAR(160),""))</f>
        <v>80172</v>
      </c>
      <c r="G61" s="112">
        <f>VALUE(SUBSTITUTE(SUBSTITUTE('cf (raw)'!W54,",",""),CHAR(160),""))</f>
        <v>56316</v>
      </c>
    </row>
    <row r="62" spans="2:7" x14ac:dyDescent="0.45">
      <c r="B62" t="s">
        <v>528</v>
      </c>
      <c r="C62" s="112">
        <f>VALUE(SUBSTITUTE(SUBSTITUTE('cf (raw)'!P66,",",""),CHAR(160),""))</f>
        <v>8983</v>
      </c>
      <c r="D62" s="112">
        <f>VALUE(SUBSTITUTE(SUBSTITUTE('cf (raw)'!J66,",",""),CHAR(160),""))</f>
        <v>1622</v>
      </c>
      <c r="E62" s="112">
        <f>VALUE(SUBSTITUTE(SUBSTITUTE('cf (raw)'!AH55,",",""),CHAR(160),""))</f>
        <v>1832</v>
      </c>
      <c r="F62" s="112">
        <f>VALUE(SUBSTITUTE(SUBSTITUTE('cf (raw)'!AB55,",",""),CHAR(160),""))</f>
        <v>1342</v>
      </c>
      <c r="G62" s="112">
        <f>VALUE(SUBSTITUTE(SUBSTITUTE('cf (raw)'!V55,",",""),CHAR(160),""))</f>
        <v>13154</v>
      </c>
    </row>
    <row r="64" spans="2:7" x14ac:dyDescent="0.45">
      <c r="B64" s="148" t="s">
        <v>530</v>
      </c>
      <c r="C64" s="149"/>
      <c r="D64" s="149"/>
      <c r="E64" s="149"/>
      <c r="F64" s="149"/>
      <c r="G64" s="149"/>
    </row>
    <row r="65" spans="2:7" x14ac:dyDescent="0.45">
      <c r="B65" t="s">
        <v>43</v>
      </c>
      <c r="C65" s="112">
        <f>dcf!C30</f>
        <v>1981572</v>
      </c>
      <c r="D65" s="112">
        <f>dcf!D30</f>
        <v>1795564</v>
      </c>
      <c r="E65" s="112">
        <f>dcf!E30</f>
        <v>2173633</v>
      </c>
      <c r="F65" s="112">
        <f>dcf!F30</f>
        <v>2440837</v>
      </c>
      <c r="G65" s="112">
        <f>dcf!G30</f>
        <v>2367194</v>
      </c>
    </row>
    <row r="66" spans="2:7" x14ac:dyDescent="0.45">
      <c r="B66" t="s">
        <v>531</v>
      </c>
      <c r="C66" t="s">
        <v>28</v>
      </c>
      <c r="D66" s="150">
        <f>D65-C65</f>
        <v>-186008</v>
      </c>
      <c r="E66" s="150">
        <f>E65-D65</f>
        <v>378069</v>
      </c>
      <c r="F66" s="150">
        <f>F65-E65</f>
        <v>267204</v>
      </c>
      <c r="G66" s="150">
        <f>G65-F65</f>
        <v>-73643</v>
      </c>
    </row>
    <row r="67" spans="2:7" x14ac:dyDescent="0.45">
      <c r="B67" t="s">
        <v>532</v>
      </c>
      <c r="C67" s="150">
        <f>-C32</f>
        <v>-89572</v>
      </c>
      <c r="D67" s="150">
        <f>-D32</f>
        <v>94757</v>
      </c>
      <c r="E67" s="150">
        <f>-E32</f>
        <v>43822</v>
      </c>
      <c r="F67" s="150">
        <f>-F32</f>
        <v>89906</v>
      </c>
      <c r="G67" s="150">
        <f>-G32</f>
        <v>91103</v>
      </c>
    </row>
    <row r="68" spans="2:7" x14ac:dyDescent="0.45">
      <c r="B68" t="s">
        <v>533</v>
      </c>
      <c r="C68" t="s">
        <v>28</v>
      </c>
      <c r="D68" s="86">
        <f>D67/D66</f>
        <v>-0.50942432583544794</v>
      </c>
      <c r="E68" s="86">
        <f>E67/E66</f>
        <v>0.1159100587458903</v>
      </c>
      <c r="F68" s="86">
        <f>F67/F66</f>
        <v>0.3364695139294322</v>
      </c>
      <c r="G68" s="86">
        <f>G67/G66</f>
        <v>-1.2370897437638337</v>
      </c>
    </row>
    <row r="69" spans="2:7" x14ac:dyDescent="0.45">
      <c r="B69" s="82" t="s">
        <v>534</v>
      </c>
      <c r="C69" s="151">
        <f>AVERAGEIF(D66:G66,"&gt;0",D68:G68)</f>
        <v>0.22618978633766124</v>
      </c>
    </row>
  </sheetData>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90B1A-9525-41F0-A0F8-B75AFFD63650}">
  <dimension ref="B1:J68"/>
  <sheetViews>
    <sheetView topLeftCell="A17" zoomScale="70" zoomScaleNormal="70" workbookViewId="0">
      <selection activeCell="J43" sqref="J43"/>
    </sheetView>
  </sheetViews>
  <sheetFormatPr defaultRowHeight="14.25" x14ac:dyDescent="0.45"/>
  <cols>
    <col min="1" max="1" width="2.6640625" customWidth="1"/>
    <col min="2" max="2" width="51.265625" customWidth="1"/>
    <col min="3" max="7" width="16" customWidth="1"/>
    <col min="29" max="29" width="7.86328125" customWidth="1"/>
  </cols>
  <sheetData>
    <row r="1" spans="2:10" ht="18" x14ac:dyDescent="0.55000000000000004">
      <c r="B1" s="78" t="s">
        <v>211</v>
      </c>
    </row>
    <row r="2" spans="2:10" x14ac:dyDescent="0.45">
      <c r="B2" s="79" t="s">
        <v>212</v>
      </c>
    </row>
    <row r="4" spans="2:10" x14ac:dyDescent="0.45">
      <c r="C4" s="80" t="s">
        <v>12</v>
      </c>
      <c r="D4" s="80" t="s">
        <v>13</v>
      </c>
      <c r="E4" s="80" t="s">
        <v>14</v>
      </c>
      <c r="F4" s="80" t="s">
        <v>15</v>
      </c>
      <c r="G4" s="80" t="s">
        <v>16</v>
      </c>
      <c r="H4" s="80" t="s">
        <v>581</v>
      </c>
      <c r="I4" s="80" t="s">
        <v>582</v>
      </c>
      <c r="J4" s="80" t="s">
        <v>17</v>
      </c>
    </row>
    <row r="6" spans="2:10" ht="15.75" x14ac:dyDescent="0.5">
      <c r="B6" s="81" t="s">
        <v>59</v>
      </c>
    </row>
    <row r="7" spans="2:10" x14ac:dyDescent="0.45">
      <c r="B7" t="s">
        <v>213</v>
      </c>
      <c r="C7" s="85">
        <f>VALUE(SUBSTITUTE(SUBSTITUTE('segments (raw)'!Q63,",",""),CHAR(160),""))</f>
        <v>635103</v>
      </c>
      <c r="D7" s="85">
        <f>VALUE(SUBSTITUTE(SUBSTITUTE('segments (raw)'!K63,",",""),CHAR(160),""))</f>
        <v>433354</v>
      </c>
      <c r="E7" s="85">
        <f>VALUE(SUBSTITUTE(SUBSTITUTE('segments (raw)'!H43,",",""),CHAR(160),""))</f>
        <v>452718</v>
      </c>
      <c r="F7" s="85">
        <f>VALUE(SUBSTITUTE(SUBSTITUTE('segments (raw)'!H25,",",""),CHAR(160),""))</f>
        <v>473329</v>
      </c>
      <c r="G7" s="85">
        <f>VALUE(SUBSTITUTE(SUBSTITUTE('segments (raw)'!H4,",",""),CHAR(160),""))</f>
        <v>444598</v>
      </c>
    </row>
    <row r="8" spans="2:10" x14ac:dyDescent="0.45">
      <c r="B8" t="s">
        <v>214</v>
      </c>
      <c r="C8" s="85">
        <f>VALUE(SUBSTITUTE(SUBSTITUTE('segments (raw)'!Q69,",",""),CHAR(160),""))</f>
        <v>10001</v>
      </c>
      <c r="D8" s="85">
        <f>VALUE(SUBSTITUTE(SUBSTITUTE('segments (raw)'!K69,",",""),CHAR(160),""))</f>
        <v>5356</v>
      </c>
      <c r="E8" s="85">
        <f>VALUE(SUBSTITUTE(SUBSTITUTE('segments (raw)'!G44,",",""),CHAR(160),""))</f>
        <v>3008</v>
      </c>
      <c r="F8" s="85">
        <f>VALUE(SUBSTITUTE(SUBSTITUTE('segments (raw)'!G26,",",""),CHAR(160),""))</f>
        <v>3248</v>
      </c>
      <c r="G8" s="85">
        <f>VALUE(SUBSTITUTE(SUBSTITUTE('segments (raw)'!G5,",",""),CHAR(160),""))</f>
        <v>2483</v>
      </c>
    </row>
    <row r="9" spans="2:10" x14ac:dyDescent="0.45">
      <c r="B9" s="82" t="s">
        <v>215</v>
      </c>
      <c r="C9" s="87">
        <f>VALUE(SUBSTITUTE(SUBSTITUTE('segments (raw)'!Q75,",",""),CHAR(160),""))</f>
        <v>645104</v>
      </c>
      <c r="D9" s="87">
        <f>VALUE(SUBSTITUTE(SUBSTITUTE('segments (raw)'!K75,",",""),CHAR(160),""))</f>
        <v>438710</v>
      </c>
      <c r="E9" s="87">
        <f>VALUE(SUBSTITUTE(SUBSTITUTE('segments (raw)'!G45,",",""),CHAR(160),""))</f>
        <v>455726</v>
      </c>
      <c r="F9" s="87">
        <f>VALUE(SUBSTITUTE(SUBSTITUTE('segments (raw)'!G27,",",""),CHAR(160),""))</f>
        <v>476577</v>
      </c>
      <c r="G9" s="87">
        <f>VALUE(SUBSTITUTE(SUBSTITUTE('segments (raw)'!G6,",",""),CHAR(160),""))</f>
        <v>447081</v>
      </c>
      <c r="H9" s="62">
        <v>235822</v>
      </c>
      <c r="I9" s="62">
        <f>H9*0.99</f>
        <v>233463.78</v>
      </c>
      <c r="J9" s="62">
        <f>H9+I9</f>
        <v>469285.78</v>
      </c>
    </row>
    <row r="10" spans="2:10" x14ac:dyDescent="0.45">
      <c r="B10" t="s">
        <v>27</v>
      </c>
      <c r="C10" s="86" t="s">
        <v>223</v>
      </c>
      <c r="D10" s="86">
        <f>(D9-C9)/C9</f>
        <v>-0.31993911059302066</v>
      </c>
      <c r="E10" s="86">
        <f>(E9-D9)/D9</f>
        <v>3.8786442068792594E-2</v>
      </c>
      <c r="F10" s="86">
        <f>(F9-E9)/E9</f>
        <v>4.5753369349126452E-2</v>
      </c>
      <c r="G10" s="86">
        <f>(G9-F9)/F9</f>
        <v>-6.1891362780830801E-2</v>
      </c>
    </row>
    <row r="11" spans="2:10" x14ac:dyDescent="0.45">
      <c r="B11" t="s">
        <v>216</v>
      </c>
      <c r="C11" s="85"/>
      <c r="D11" s="85"/>
      <c r="E11" s="85">
        <f>VALUE(SUBSTITUTE(SUBSTITUTE('segments (raw)'!G46,",",""),CHAR(160),""))</f>
        <v>349809</v>
      </c>
      <c r="F11" s="85">
        <f>VALUE(SUBSTITUTE(SUBSTITUTE('segments (raw)'!G28,",",""),CHAR(160),""))</f>
        <v>353113</v>
      </c>
      <c r="G11" s="85">
        <f>VALUE(SUBSTITUTE(SUBSTITUTE('segments (raw)'!G7,",",""),CHAR(160),""))</f>
        <v>307682</v>
      </c>
    </row>
    <row r="12" spans="2:10" x14ac:dyDescent="0.45">
      <c r="B12" t="s">
        <v>217</v>
      </c>
      <c r="C12" s="85">
        <f>VALUE(SUBSTITUTE(SUBSTITUTE('segments (raw)'!Q81,",",""),CHAR(160),""))</f>
        <v>99355</v>
      </c>
      <c r="D12" s="85">
        <f>VALUE(SUBSTITUTE(SUBSTITUTE('segments (raw)'!K81,",",""),CHAR(160),""))</f>
        <v>61778</v>
      </c>
      <c r="E12" s="85">
        <f>E9-E11</f>
        <v>105917</v>
      </c>
      <c r="F12" s="85">
        <f>F9-F11</f>
        <v>123464</v>
      </c>
      <c r="G12" s="85">
        <f>G9-G11</f>
        <v>139399</v>
      </c>
    </row>
    <row r="13" spans="2:10" x14ac:dyDescent="0.45">
      <c r="B13" t="s">
        <v>218</v>
      </c>
      <c r="C13" s="86">
        <f>C12/C9</f>
        <v>0.15401392643666759</v>
      </c>
      <c r="D13" s="86">
        <f>D12/D9</f>
        <v>0.14081739645779673</v>
      </c>
      <c r="E13" s="86">
        <f>E12/E9</f>
        <v>0.23241377494371618</v>
      </c>
      <c r="F13" s="86">
        <f>F12/F9</f>
        <v>0.25906411765569887</v>
      </c>
      <c r="G13" s="86">
        <f>G12/G9</f>
        <v>0.31179808580548046</v>
      </c>
    </row>
    <row r="14" spans="2:10" x14ac:dyDescent="0.45">
      <c r="B14" t="s">
        <v>219</v>
      </c>
      <c r="C14" s="85"/>
      <c r="D14" s="85"/>
      <c r="E14" s="85">
        <f>VALUE(SUBSTITUTE(SUBSTITUTE('segments (raw)'!G49,",",""),CHAR(160),""))</f>
        <v>13846</v>
      </c>
      <c r="F14" s="85">
        <f>VALUE(SUBSTITUTE(SUBSTITUTE('segments (raw)'!G31,",",""),CHAR(160),""))</f>
        <v>13627</v>
      </c>
      <c r="G14" s="85">
        <f>VALUE(SUBSTITUTE(SUBSTITUTE('segments (raw)'!G10,",",""),CHAR(160),""))</f>
        <v>13283</v>
      </c>
    </row>
    <row r="15" spans="2:10" x14ac:dyDescent="0.45">
      <c r="B15" t="s">
        <v>220</v>
      </c>
      <c r="C15" s="85"/>
      <c r="D15" s="85"/>
      <c r="E15" s="85">
        <f>VALUE(SUBSTITUTE(SUBSTITUTE('segments (raw)'!G50,",",""),CHAR(160),""))</f>
        <v>26381</v>
      </c>
      <c r="F15" s="85">
        <f>VALUE(SUBSTITUTE(SUBSTITUTE('segments (raw)'!G32,",",""),CHAR(160),""))</f>
        <v>16315</v>
      </c>
      <c r="G15" s="85">
        <f>VALUE(SUBSTITUTE(SUBSTITUTE('segments (raw)'!G11,",",""),CHAR(160),""))</f>
        <v>17399</v>
      </c>
    </row>
    <row r="16" spans="2:10" x14ac:dyDescent="0.45">
      <c r="B16" s="82" t="s">
        <v>221</v>
      </c>
      <c r="C16" s="85">
        <f>VALUE(SUBSTITUTE(SUBSTITUTE('segments (raw)'!Q87,",",""),CHAR(160),""))</f>
        <v>57217</v>
      </c>
      <c r="D16" s="85">
        <f>VALUE(SUBSTITUTE(SUBSTITUTE('segments (raw)'!K87,",",""),CHAR(160),""))</f>
        <v>26703</v>
      </c>
      <c r="E16" s="85">
        <f>VALUE(SUBSTITUTE(SUBSTITUTE('segments (raw)'!G52,",",""),CHAR(160),""))</f>
        <v>65690</v>
      </c>
      <c r="F16" s="85">
        <f>VALUE(SUBSTITUTE(SUBSTITUTE('segments (raw)'!G34,",",""),CHAR(160),""))</f>
        <v>93522</v>
      </c>
      <c r="G16" s="85">
        <f>VALUE(SUBSTITUTE(SUBSTITUTE('segments (raw)'!G13,",",""),CHAR(160),""))</f>
        <v>108717</v>
      </c>
    </row>
    <row r="17" spans="2:10" x14ac:dyDescent="0.45">
      <c r="B17" t="s">
        <v>222</v>
      </c>
      <c r="C17" s="86">
        <f>C16/C9</f>
        <v>8.8694226047272992E-2</v>
      </c>
      <c r="D17" s="86">
        <f>D16/D9</f>
        <v>6.0867087597729706E-2</v>
      </c>
      <c r="E17" s="86">
        <f>E16/E9</f>
        <v>0.14414363016373874</v>
      </c>
      <c r="F17" s="86">
        <f>F16/F9</f>
        <v>0.19623691449650318</v>
      </c>
      <c r="G17" s="86">
        <f>G16/G9</f>
        <v>0.24317070061129861</v>
      </c>
      <c r="J17" s="206">
        <f>68413/235822</f>
        <v>0.29010440077685712</v>
      </c>
    </row>
    <row r="19" spans="2:10" ht="15.75" x14ac:dyDescent="0.5">
      <c r="B19" s="81" t="s">
        <v>60</v>
      </c>
    </row>
    <row r="20" spans="2:10" x14ac:dyDescent="0.45">
      <c r="B20" t="s">
        <v>213</v>
      </c>
      <c r="C20" s="85">
        <f>VALUE(SUBSTITUTE(SUBSTITUTE('segments (raw)'!P64,",",""),CHAR(160),""))</f>
        <v>974531</v>
      </c>
      <c r="D20" s="85">
        <f>VALUE(SUBSTITUTE(SUBSTITUTE('segments (raw)'!J64,",",""),CHAR(160),""))</f>
        <v>1002156</v>
      </c>
      <c r="E20" s="85">
        <f>VALUE(SUBSTITUTE(SUBSTITUTE('segments (raw)'!N43,",",""),CHAR(160),""))</f>
        <v>1331546</v>
      </c>
      <c r="F20" s="85">
        <f>VALUE(SUBSTITUTE(SUBSTITUTE('segments (raw)'!N25,",",""),CHAR(160),""))</f>
        <v>1546278</v>
      </c>
      <c r="G20" s="85">
        <f>VALUE(SUBSTITUTE(SUBSTITUTE('segments (raw)'!N4,",",""),CHAR(160),""))</f>
        <v>1442243</v>
      </c>
    </row>
    <row r="21" spans="2:10" x14ac:dyDescent="0.45">
      <c r="B21" t="s">
        <v>214</v>
      </c>
      <c r="C21" s="85">
        <f>VALUE(SUBSTITUTE(SUBSTITUTE('segments (raw)'!P70,",",""),CHAR(160),""))</f>
        <v>118100</v>
      </c>
      <c r="D21" s="85">
        <f>VALUE(SUBSTITUTE(SUBSTITUTE('segments (raw)'!J70,",",""),CHAR(160),""))</f>
        <v>117112</v>
      </c>
      <c r="E21" s="85">
        <f>VALUE(SUBSTITUTE(SUBSTITUTE('segments (raw)'!M44,",",""),CHAR(160),""))</f>
        <v>118745</v>
      </c>
      <c r="F21" s="85">
        <f>VALUE(SUBSTITUTE(SUBSTITUTE('segments (raw)'!M26,",",""),CHAR(160),""))</f>
        <v>103797</v>
      </c>
      <c r="G21" s="85">
        <f>VALUE(SUBSTITUTE(SUBSTITUTE('segments (raw)'!M5,",",""),CHAR(160),""))</f>
        <v>115078</v>
      </c>
    </row>
    <row r="22" spans="2:10" x14ac:dyDescent="0.45">
      <c r="B22" s="82" t="s">
        <v>215</v>
      </c>
      <c r="C22" s="87">
        <f>VALUE(SUBSTITUTE(SUBSTITUTE('segments (raw)'!P76,",",""),CHAR(160),""))</f>
        <v>1092631</v>
      </c>
      <c r="D22" s="87">
        <f>VALUE(SUBSTITUTE(SUBSTITUTE('segments (raw)'!J76,",",""),CHAR(160),""))</f>
        <v>1119268</v>
      </c>
      <c r="E22" s="87">
        <f>VALUE(SUBSTITUTE(SUBSTITUTE('segments (raw)'!M45,",",""),CHAR(160),""))</f>
        <v>1450291</v>
      </c>
      <c r="F22" s="87">
        <f>VALUE(SUBSTITUTE(SUBSTITUTE('segments (raw)'!M27,",",""),CHAR(160),""))</f>
        <v>1650075</v>
      </c>
      <c r="G22" s="87">
        <f>VALUE(SUBSTITUTE(SUBSTITUTE('segments (raw)'!M6,",",""),CHAR(160),""))</f>
        <v>1557321</v>
      </c>
      <c r="H22" s="62">
        <v>689901</v>
      </c>
      <c r="I22" s="62">
        <f>H22*1.076</f>
        <v>742333.47600000002</v>
      </c>
      <c r="J22" s="62">
        <f>H22+I22</f>
        <v>1432234.476</v>
      </c>
    </row>
    <row r="23" spans="2:10" x14ac:dyDescent="0.45">
      <c r="B23" t="s">
        <v>27</v>
      </c>
      <c r="C23" s="86" t="s">
        <v>223</v>
      </c>
      <c r="D23" s="86">
        <f>(D22-C22)/C22</f>
        <v>2.4378770142893622E-2</v>
      </c>
      <c r="E23" s="86">
        <f>(E22-D22)/D22</f>
        <v>0.29574954345161303</v>
      </c>
      <c r="F23" s="86">
        <f>(F22-E22)/E22</f>
        <v>0.13775442307785127</v>
      </c>
      <c r="G23" s="86">
        <f>(G22-F22)/F22</f>
        <v>-5.6211990364074357E-2</v>
      </c>
      <c r="H23" s="62"/>
      <c r="I23" s="62"/>
      <c r="J23" s="62"/>
    </row>
    <row r="24" spans="2:10" x14ac:dyDescent="0.45">
      <c r="B24" t="s">
        <v>216</v>
      </c>
      <c r="C24" s="85"/>
      <c r="D24" s="85"/>
      <c r="E24" s="85">
        <f>VALUE(SUBSTITUTE(SUBSTITUTE('segments (raw)'!M46,",",""),CHAR(160),""))</f>
        <v>950566</v>
      </c>
      <c r="F24" s="85">
        <f>VALUE(SUBSTITUTE(SUBSTITUTE('segments (raw)'!M28,",",""),CHAR(160),""))</f>
        <v>1052295</v>
      </c>
      <c r="G24" s="85">
        <f>VALUE(SUBSTITUTE(SUBSTITUTE('segments (raw)'!M7,",",""),CHAR(160),""))</f>
        <v>948745</v>
      </c>
      <c r="H24" s="62"/>
      <c r="I24" s="62"/>
      <c r="J24" s="62"/>
    </row>
    <row r="25" spans="2:10" x14ac:dyDescent="0.45">
      <c r="B25" t="s">
        <v>217</v>
      </c>
      <c r="C25" s="85">
        <f>VALUE(SUBSTITUTE(SUBSTITUTE('segments (raw)'!P82,",",""),CHAR(160),""))</f>
        <v>378633</v>
      </c>
      <c r="D25" s="85">
        <f>VALUE(SUBSTITUTE(SUBSTITUTE('segments (raw)'!J82,",",""),CHAR(160),""))</f>
        <v>361975</v>
      </c>
      <c r="E25" s="85">
        <f>E22-E24</f>
        <v>499725</v>
      </c>
      <c r="F25" s="85">
        <f>F22-F24</f>
        <v>597780</v>
      </c>
      <c r="G25" s="85">
        <f>G22-G24</f>
        <v>608576</v>
      </c>
      <c r="H25" s="62"/>
      <c r="I25" s="62"/>
      <c r="J25" s="62"/>
    </row>
    <row r="26" spans="2:10" x14ac:dyDescent="0.45">
      <c r="B26" t="s">
        <v>218</v>
      </c>
      <c r="C26" s="86">
        <f>C25/C22</f>
        <v>0.34653327610144685</v>
      </c>
      <c r="D26" s="86">
        <f>D25/D22</f>
        <v>0.32340333146306338</v>
      </c>
      <c r="E26" s="86">
        <f>E25/E22</f>
        <v>0.34456877964491262</v>
      </c>
      <c r="F26" s="86">
        <f>F25/F22</f>
        <v>0.36227444207081494</v>
      </c>
      <c r="G26" s="86">
        <f>G25/G22</f>
        <v>0.39078391673906665</v>
      </c>
      <c r="H26" s="62"/>
      <c r="I26" s="62"/>
      <c r="J26" s="62"/>
    </row>
    <row r="27" spans="2:10" x14ac:dyDescent="0.45">
      <c r="B27" t="s">
        <v>219</v>
      </c>
      <c r="C27" s="85"/>
      <c r="D27" s="85"/>
      <c r="E27" s="85">
        <f>VALUE(SUBSTITUTE(SUBSTITUTE('segments (raw)'!M49,",",""),CHAR(160),""))</f>
        <v>26055</v>
      </c>
      <c r="F27" s="85">
        <f>VALUE(SUBSTITUTE(SUBSTITUTE('segments (raw)'!M31,",",""),CHAR(160),""))</f>
        <v>27676</v>
      </c>
      <c r="G27" s="85">
        <f>VALUE(SUBSTITUTE(SUBSTITUTE('segments (raw)'!M10,",",""),CHAR(160),""))</f>
        <v>27929</v>
      </c>
      <c r="H27" s="62"/>
      <c r="I27" s="62"/>
      <c r="J27" s="62"/>
    </row>
    <row r="28" spans="2:10" x14ac:dyDescent="0.45">
      <c r="B28" t="s">
        <v>220</v>
      </c>
      <c r="C28" s="85"/>
      <c r="D28" s="85"/>
      <c r="E28" s="85">
        <f>VALUE(SUBSTITUTE(SUBSTITUTE('segments (raw)'!M50,",",""),CHAR(160),""))</f>
        <v>104749</v>
      </c>
      <c r="F28" s="85">
        <f>VALUE(SUBSTITUTE(SUBSTITUTE('segments (raw)'!M32,",",""),CHAR(160),""))</f>
        <v>113442</v>
      </c>
      <c r="G28" s="85">
        <f>VALUE(SUBSTITUTE(SUBSTITUTE('segments (raw)'!M11,",",""),CHAR(160),""))</f>
        <v>108247</v>
      </c>
      <c r="H28" s="62"/>
      <c r="I28" s="62"/>
      <c r="J28" s="62"/>
    </row>
    <row r="29" spans="2:10" x14ac:dyDescent="0.45">
      <c r="B29" s="82" t="s">
        <v>221</v>
      </c>
      <c r="C29" s="85">
        <f>VALUE(SUBSTITUTE(SUBSTITUTE('segments (raw)'!P88,",",""),CHAR(160),""))</f>
        <v>254434</v>
      </c>
      <c r="D29" s="85">
        <f>VALUE(SUBSTITUTE(SUBSTITUTE('segments (raw)'!J88,",",""),CHAR(160),""))</f>
        <v>248268</v>
      </c>
      <c r="E29" s="85">
        <f>VALUE(SUBSTITUTE(SUBSTITUTE('segments (raw)'!M52,",",""),CHAR(160),""))</f>
        <v>368921</v>
      </c>
      <c r="F29" s="85">
        <f>VALUE(SUBSTITUTE(SUBSTITUTE('segments (raw)'!M34,",",""),CHAR(160),""))</f>
        <v>456662</v>
      </c>
      <c r="G29" s="85">
        <f>VALUE(SUBSTITUTE(SUBSTITUTE('segments (raw)'!M13,",",""),CHAR(160),""))</f>
        <v>472400</v>
      </c>
      <c r="H29" s="62"/>
      <c r="I29" s="62"/>
      <c r="J29" s="62"/>
    </row>
    <row r="30" spans="2:10" x14ac:dyDescent="0.45">
      <c r="B30" t="s">
        <v>222</v>
      </c>
      <c r="C30" s="86">
        <f>C29/C22</f>
        <v>0.23286361086222154</v>
      </c>
      <c r="D30" s="86">
        <f>D29/D22</f>
        <v>0.22181282766951257</v>
      </c>
      <c r="E30" s="86">
        <f>E29/E22</f>
        <v>0.2543772249845031</v>
      </c>
      <c r="F30" s="86">
        <f>F29/F22</f>
        <v>0.27675226883626503</v>
      </c>
      <c r="G30" s="86">
        <f>G29/G22</f>
        <v>0.30334144341468455</v>
      </c>
      <c r="H30" s="62"/>
      <c r="I30" s="62"/>
      <c r="J30" s="156">
        <f>222197/689901</f>
        <v>0.3220708478462852</v>
      </c>
    </row>
    <row r="31" spans="2:10" x14ac:dyDescent="0.45">
      <c r="H31" s="62"/>
      <c r="I31" s="62"/>
      <c r="J31" s="62"/>
    </row>
    <row r="32" spans="2:10" ht="15.75" x14ac:dyDescent="0.5">
      <c r="B32" s="81" t="s">
        <v>61</v>
      </c>
      <c r="H32" s="62"/>
      <c r="I32" s="62"/>
      <c r="J32" s="62"/>
    </row>
    <row r="33" spans="2:10" x14ac:dyDescent="0.45">
      <c r="B33" t="s">
        <v>213</v>
      </c>
      <c r="C33" s="85">
        <f>VALUE(SUBSTITUTE(SUBSTITUTE('segments (raw)'!P65,",",""),CHAR(160),""))</f>
        <v>68561</v>
      </c>
      <c r="D33" s="85">
        <f>VALUE(SUBSTITUTE(SUBSTITUTE('segments (raw)'!J65,",",""),CHAR(160),""))</f>
        <v>64733</v>
      </c>
      <c r="E33" s="85">
        <f>VALUE(SUBSTITUTE(SUBSTITUTE('segments (raw)'!T43,",",""),CHAR(160),""))</f>
        <v>79225</v>
      </c>
      <c r="F33" s="85">
        <f>VALUE(SUBSTITUTE(SUBSTITUTE('segments (raw)'!T25,",",""),CHAR(160),""))</f>
        <v>111772</v>
      </c>
      <c r="G33" s="85">
        <f>VALUE(SUBSTITUTE(SUBSTITUTE('segments (raw)'!T4,",",""),CHAR(160),""))</f>
        <v>122135</v>
      </c>
      <c r="H33" s="62"/>
      <c r="I33" s="62"/>
      <c r="J33" s="62"/>
    </row>
    <row r="34" spans="2:10" x14ac:dyDescent="0.45">
      <c r="B34" t="s">
        <v>214</v>
      </c>
      <c r="C34" s="85">
        <f>VALUE(SUBSTITUTE(SUBSTITUTE('segments (raw)'!P71,",",""),CHAR(160),""))</f>
        <v>175276</v>
      </c>
      <c r="D34" s="85">
        <f>VALUE(SUBSTITUTE(SUBSTITUTE('segments (raw)'!J71,",",""),CHAR(160),""))</f>
        <v>172853</v>
      </c>
      <c r="E34" s="85">
        <f>VALUE(SUBSTITUTE(SUBSTITUTE('segments (raw)'!S44,",",""),CHAR(160),""))</f>
        <v>188391</v>
      </c>
      <c r="F34" s="85">
        <f>VALUE(SUBSTITUTE(SUBSTITUTE('segments (raw)'!S26,",",""),CHAR(160),""))</f>
        <v>202413</v>
      </c>
      <c r="G34" s="85">
        <f>VALUE(SUBSTITUTE(SUBSTITUTE('segments (raw)'!S5,",",""),CHAR(160),""))</f>
        <v>237608</v>
      </c>
      <c r="H34" s="62"/>
      <c r="I34" s="62"/>
      <c r="J34" s="62"/>
    </row>
    <row r="35" spans="2:10" x14ac:dyDescent="0.45">
      <c r="B35" s="82" t="s">
        <v>215</v>
      </c>
      <c r="C35" s="87">
        <f>VALUE(SUBSTITUTE(SUBSTITUTE('segments (raw)'!P77,",",""),CHAR(160),""))</f>
        <v>243837</v>
      </c>
      <c r="D35" s="87">
        <f>VALUE(SUBSTITUTE(SUBSTITUTE('segments (raw)'!J77,",",""),CHAR(160),""))</f>
        <v>237586</v>
      </c>
      <c r="E35" s="87">
        <f>VALUE(SUBSTITUTE(SUBSTITUTE('segments (raw)'!S45,",",""),CHAR(160),""))</f>
        <v>267616</v>
      </c>
      <c r="F35" s="87">
        <f>VALUE(SUBSTITUTE(SUBSTITUTE('segments (raw)'!S27,",",""),CHAR(160),""))</f>
        <v>314185</v>
      </c>
      <c r="G35" s="87">
        <f>VALUE(SUBSTITUTE(SUBSTITUTE('segments (raw)'!S6,",",""),CHAR(160),""))</f>
        <v>359743</v>
      </c>
      <c r="H35" s="62">
        <v>192309</v>
      </c>
      <c r="I35" s="62">
        <f>H35*1.175</f>
        <v>225963.07500000001</v>
      </c>
      <c r="J35" s="62">
        <f>H35+I35</f>
        <v>418272.07500000001</v>
      </c>
    </row>
    <row r="36" spans="2:10" x14ac:dyDescent="0.45">
      <c r="B36" t="s">
        <v>27</v>
      </c>
      <c r="C36" s="86" t="s">
        <v>223</v>
      </c>
      <c r="D36" s="86">
        <f>(D35-C35)/C35</f>
        <v>-2.5635978132933068E-2</v>
      </c>
      <c r="E36" s="86">
        <f>(E35-D35)/D35</f>
        <v>0.12639633648447299</v>
      </c>
      <c r="F36" s="86">
        <f>(F35-E35)/E35</f>
        <v>0.17401425923711586</v>
      </c>
      <c r="G36" s="86">
        <f>(G35-F35)/F35</f>
        <v>0.14500373983481071</v>
      </c>
      <c r="H36" s="62"/>
      <c r="I36" s="62"/>
      <c r="J36" s="62"/>
    </row>
    <row r="37" spans="2:10" x14ac:dyDescent="0.45">
      <c r="B37" t="s">
        <v>216</v>
      </c>
      <c r="C37" s="85"/>
      <c r="D37" s="85"/>
      <c r="E37" s="85">
        <f>VALUE(SUBSTITUTE(SUBSTITUTE('segments (raw)'!S46,",",""),CHAR(160),""))</f>
        <v>159350</v>
      </c>
      <c r="F37" s="85">
        <f>VALUE(SUBSTITUTE(SUBSTITUTE('segments (raw)'!S28,",",""),CHAR(160),""))</f>
        <v>196112</v>
      </c>
      <c r="G37" s="85">
        <f>VALUE(SUBSTITUTE(SUBSTITUTE('segments (raw)'!S7,",",""),CHAR(160),""))</f>
        <v>216839</v>
      </c>
      <c r="H37" s="62"/>
      <c r="I37" s="62"/>
      <c r="J37" s="62"/>
    </row>
    <row r="38" spans="2:10" x14ac:dyDescent="0.45">
      <c r="B38" t="s">
        <v>217</v>
      </c>
      <c r="C38" s="85">
        <f>VALUE(SUBSTITUTE(SUBSTITUTE('segments (raw)'!P83,",",""),CHAR(160),""))</f>
        <v>95181</v>
      </c>
      <c r="D38" s="85">
        <f>VALUE(SUBSTITUTE(SUBSTITUTE('segments (raw)'!J83,",",""),CHAR(160),""))</f>
        <v>98436</v>
      </c>
      <c r="E38" s="85">
        <f>E35-E37</f>
        <v>108266</v>
      </c>
      <c r="F38" s="85">
        <f>F35-F37</f>
        <v>118073</v>
      </c>
      <c r="G38" s="85">
        <f>G35-G37</f>
        <v>142904</v>
      </c>
      <c r="H38" s="62"/>
      <c r="I38" s="62"/>
      <c r="J38" s="62"/>
    </row>
    <row r="39" spans="2:10" x14ac:dyDescent="0.45">
      <c r="B39" t="s">
        <v>218</v>
      </c>
      <c r="C39" s="86">
        <f>C38/C35</f>
        <v>0.3903468300545036</v>
      </c>
      <c r="D39" s="86">
        <f>D38/D35</f>
        <v>0.41431734193092185</v>
      </c>
      <c r="E39" s="86">
        <f>E38/E35</f>
        <v>0.40455727609709435</v>
      </c>
      <c r="F39" s="86">
        <f>F38/F35</f>
        <v>0.37580724732243742</v>
      </c>
      <c r="G39" s="86">
        <f>G38/G35</f>
        <v>0.3972391401639504</v>
      </c>
      <c r="H39" s="62"/>
      <c r="I39" s="62"/>
      <c r="J39" s="62"/>
    </row>
    <row r="40" spans="2:10" x14ac:dyDescent="0.45">
      <c r="B40" t="s">
        <v>219</v>
      </c>
      <c r="C40" s="85"/>
      <c r="D40" s="85"/>
      <c r="E40" s="85">
        <f>VALUE(SUBSTITUTE(SUBSTITUTE('segments (raw)'!S49,",",""),CHAR(160),""))</f>
        <v>14428</v>
      </c>
      <c r="F40" s="85">
        <f>VALUE(SUBSTITUTE(SUBSTITUTE('segments (raw)'!S31,",",""),CHAR(160),""))</f>
        <v>15826</v>
      </c>
      <c r="G40" s="85">
        <f>VALUE(SUBSTITUTE(SUBSTITUTE('segments (raw)'!S10,",",""),CHAR(160),""))</f>
        <v>16921</v>
      </c>
      <c r="H40" s="62"/>
      <c r="I40" s="62"/>
      <c r="J40" s="62"/>
    </row>
    <row r="41" spans="2:10" x14ac:dyDescent="0.45">
      <c r="B41" t="s">
        <v>220</v>
      </c>
      <c r="C41" s="85"/>
      <c r="D41" s="85"/>
      <c r="E41" s="85">
        <f>VALUE(SUBSTITUTE(SUBSTITUTE('segments (raw)'!S50,",",""),CHAR(160),""))</f>
        <v>43492</v>
      </c>
      <c r="F41" s="85">
        <f>VALUE(SUBSTITUTE(SUBSTITUTE('segments (raw)'!S32,",",""),CHAR(160),""))</f>
        <v>50517</v>
      </c>
      <c r="G41" s="85">
        <f>VALUE(SUBSTITUTE(SUBSTITUTE('segments (raw)'!S11,",",""),CHAR(160),""))</f>
        <v>48991</v>
      </c>
      <c r="H41" s="62"/>
      <c r="I41" s="62"/>
      <c r="J41" s="62"/>
    </row>
    <row r="42" spans="2:10" x14ac:dyDescent="0.45">
      <c r="B42" s="82" t="s">
        <v>221</v>
      </c>
      <c r="C42" s="85">
        <f>VALUE(SUBSTITUTE(SUBSTITUTE('segments (raw)'!P89,",",""),CHAR(160),""))</f>
        <v>50631</v>
      </c>
      <c r="D42" s="85">
        <f>VALUE(SUBSTITUTE(SUBSTITUTE('segments (raw)'!J89,",",""),CHAR(160),""))</f>
        <v>46247</v>
      </c>
      <c r="E42" s="85">
        <f>VALUE(SUBSTITUTE(SUBSTITUTE('segments (raw)'!S52,",",""),CHAR(160),""))</f>
        <v>50346</v>
      </c>
      <c r="F42" s="85">
        <f>VALUE(SUBSTITUTE(SUBSTITUTE('segments (raw)'!S34,",",""),CHAR(160),""))</f>
        <v>51730</v>
      </c>
      <c r="G42" s="85">
        <f>VALUE(SUBSTITUTE(SUBSTITUTE('segments (raw)'!S13,",",""),CHAR(160),""))</f>
        <v>76992</v>
      </c>
      <c r="H42" s="62"/>
      <c r="I42" s="62"/>
      <c r="J42" s="62"/>
    </row>
    <row r="43" spans="2:10" x14ac:dyDescent="0.45">
      <c r="B43" t="s">
        <v>222</v>
      </c>
      <c r="C43" s="86">
        <f>C42/C35</f>
        <v>0.20764281056607486</v>
      </c>
      <c r="D43" s="86">
        <f>D42/D35</f>
        <v>0.19465372538785955</v>
      </c>
      <c r="E43" s="86">
        <f>E42/E35</f>
        <v>0.18812776515604449</v>
      </c>
      <c r="F43" s="86">
        <f>F42/F35</f>
        <v>0.16464821681493388</v>
      </c>
      <c r="G43" s="86">
        <f>G42/G35</f>
        <v>0.21401945277600953</v>
      </c>
      <c r="H43" s="62"/>
      <c r="I43" s="62"/>
      <c r="J43" s="156">
        <f>42897/192309</f>
        <v>0.22306288317239442</v>
      </c>
    </row>
    <row r="44" spans="2:10" x14ac:dyDescent="0.45">
      <c r="H44" s="62"/>
      <c r="I44" s="62"/>
      <c r="J44" s="62"/>
    </row>
    <row r="45" spans="2:10" ht="15.75" x14ac:dyDescent="0.5">
      <c r="B45" s="81" t="s">
        <v>62</v>
      </c>
      <c r="H45" s="62"/>
      <c r="I45" s="62"/>
      <c r="J45" s="62"/>
    </row>
    <row r="46" spans="2:10" x14ac:dyDescent="0.45">
      <c r="B46" t="s">
        <v>213</v>
      </c>
      <c r="G46" s="85">
        <f>IFERROR(VALUE(SUBSTITUTE(SUBSTITUTE('segments (raw)'!Z4,",",""),CHAR(160),"")),0)</f>
        <v>0</v>
      </c>
      <c r="H46" s="62"/>
      <c r="I46" s="62"/>
      <c r="J46" s="62"/>
    </row>
    <row r="47" spans="2:10" x14ac:dyDescent="0.45">
      <c r="B47" t="s">
        <v>214</v>
      </c>
      <c r="G47" s="85">
        <f>VALUE(SUBSTITUTE(SUBSTITUTE('segments (raw)'!Y5,",",""),CHAR(160),""))</f>
        <v>3049</v>
      </c>
      <c r="H47" s="62"/>
      <c r="I47" s="62"/>
      <c r="J47" s="62"/>
    </row>
    <row r="48" spans="2:10" x14ac:dyDescent="0.45">
      <c r="B48" s="82" t="s">
        <v>215</v>
      </c>
      <c r="G48" s="85">
        <f>VALUE(SUBSTITUTE(SUBSTITUTE('segments (raw)'!Y6,",",""),CHAR(160),""))</f>
        <v>3049</v>
      </c>
      <c r="H48" s="62">
        <v>31852</v>
      </c>
      <c r="I48" s="62">
        <f>H48*1.095</f>
        <v>34877.94</v>
      </c>
      <c r="J48" s="62">
        <f>H48+I48</f>
        <v>66729.94</v>
      </c>
    </row>
    <row r="49" spans="2:10" x14ac:dyDescent="0.45">
      <c r="B49" t="s">
        <v>27</v>
      </c>
      <c r="G49" s="86"/>
    </row>
    <row r="50" spans="2:10" x14ac:dyDescent="0.45">
      <c r="B50" t="s">
        <v>216</v>
      </c>
      <c r="G50" s="85">
        <f>VALUE(SUBSTITUTE(SUBSTITUTE('segments (raw)'!Y7,",",""),CHAR(160),""))</f>
        <v>732</v>
      </c>
    </row>
    <row r="51" spans="2:10" x14ac:dyDescent="0.45">
      <c r="B51" t="s">
        <v>217</v>
      </c>
      <c r="G51" s="85">
        <f>G48-G50</f>
        <v>2317</v>
      </c>
    </row>
    <row r="52" spans="2:10" x14ac:dyDescent="0.45">
      <c r="B52" t="s">
        <v>218</v>
      </c>
      <c r="G52" s="86">
        <f>G51/G48</f>
        <v>0.75992128566743189</v>
      </c>
    </row>
    <row r="53" spans="2:10" x14ac:dyDescent="0.45">
      <c r="B53" t="s">
        <v>219</v>
      </c>
      <c r="G53" s="85">
        <f>VALUE(SUBSTITUTE(SUBSTITUTE('segments (raw)'!Y10,",",""),CHAR(160),""))</f>
        <v>1000</v>
      </c>
    </row>
    <row r="54" spans="2:10" x14ac:dyDescent="0.45">
      <c r="B54" t="s">
        <v>220</v>
      </c>
      <c r="G54" s="85">
        <f>VALUE(SUBSTITUTE(SUBSTITUTE('segments (raw)'!Y11,",",""),CHAR(160),""))</f>
        <v>1426</v>
      </c>
    </row>
    <row r="55" spans="2:10" x14ac:dyDescent="0.45">
      <c r="B55" s="82" t="s">
        <v>221</v>
      </c>
      <c r="G55" s="85">
        <f>VALUE('segments (raw)'!Y13)</f>
        <v>-109</v>
      </c>
    </row>
    <row r="56" spans="2:10" x14ac:dyDescent="0.45">
      <c r="B56" t="s">
        <v>222</v>
      </c>
      <c r="G56" s="86">
        <f>G55/G48</f>
        <v>-3.5749426041325028E-2</v>
      </c>
      <c r="J56" s="156">
        <f>8707/31852</f>
        <v>0.27335803089287958</v>
      </c>
    </row>
    <row r="57" spans="2:10" x14ac:dyDescent="0.45">
      <c r="C57" s="83" t="s">
        <v>224</v>
      </c>
    </row>
    <row r="58" spans="2:10" ht="15.75" x14ac:dyDescent="0.5">
      <c r="B58" s="84" t="s">
        <v>169</v>
      </c>
    </row>
    <row r="59" spans="2:10" x14ac:dyDescent="0.45">
      <c r="B59" t="s">
        <v>213</v>
      </c>
      <c r="C59" s="85">
        <f t="shared" ref="C59:G61" si="0">SUM(C7,C20,C33,C46)</f>
        <v>1678195</v>
      </c>
      <c r="D59" s="85">
        <f t="shared" si="0"/>
        <v>1500243</v>
      </c>
      <c r="E59" s="85">
        <f t="shared" si="0"/>
        <v>1863489</v>
      </c>
      <c r="F59" s="85">
        <f t="shared" si="0"/>
        <v>2131379</v>
      </c>
      <c r="G59" s="85">
        <f t="shared" si="0"/>
        <v>2008976</v>
      </c>
    </row>
    <row r="60" spans="2:10" x14ac:dyDescent="0.45">
      <c r="B60" t="s">
        <v>214</v>
      </c>
      <c r="C60" s="85">
        <f t="shared" si="0"/>
        <v>303377</v>
      </c>
      <c r="D60" s="85">
        <f t="shared" si="0"/>
        <v>295321</v>
      </c>
      <c r="E60" s="85">
        <f t="shared" si="0"/>
        <v>310144</v>
      </c>
      <c r="F60" s="85">
        <f t="shared" si="0"/>
        <v>309458</v>
      </c>
      <c r="G60" s="85">
        <f t="shared" si="0"/>
        <v>358218</v>
      </c>
    </row>
    <row r="61" spans="2:10" x14ac:dyDescent="0.45">
      <c r="B61" s="82" t="s">
        <v>215</v>
      </c>
      <c r="C61" s="85">
        <f t="shared" si="0"/>
        <v>1981572</v>
      </c>
      <c r="D61" s="85">
        <f t="shared" si="0"/>
        <v>1795564</v>
      </c>
      <c r="E61" s="85">
        <f t="shared" si="0"/>
        <v>2173633</v>
      </c>
      <c r="F61" s="85">
        <f t="shared" si="0"/>
        <v>2440837</v>
      </c>
      <c r="G61" s="85">
        <f t="shared" si="0"/>
        <v>2367194</v>
      </c>
    </row>
    <row r="62" spans="2:10" x14ac:dyDescent="0.45">
      <c r="B62" t="s">
        <v>27</v>
      </c>
      <c r="C62" s="86" t="s">
        <v>223</v>
      </c>
      <c r="D62" s="86">
        <f>(D61-C61)/C61</f>
        <v>-9.3868908119412259E-2</v>
      </c>
      <c r="E62" s="86">
        <f>(E61-D61)/D61</f>
        <v>0.21055723995357448</v>
      </c>
      <c r="F62" s="86">
        <f>(F61-E61)/E61</f>
        <v>0.12292967580083666</v>
      </c>
      <c r="G62" s="86">
        <f>(G61-F61)/F61</f>
        <v>-3.0171207663600642E-2</v>
      </c>
    </row>
    <row r="63" spans="2:10" x14ac:dyDescent="0.45">
      <c r="B63" s="82" t="s">
        <v>225</v>
      </c>
      <c r="C63" s="85">
        <f>SUM(C16,C29,C42)</f>
        <v>362282</v>
      </c>
      <c r="D63" s="85">
        <f>SUM(D16,D29,D42)</f>
        <v>321218</v>
      </c>
      <c r="E63" s="85">
        <f>SUM(E16,E29,E42)</f>
        <v>484957</v>
      </c>
      <c r="F63" s="85">
        <f>SUM(F16,F29,F42)</f>
        <v>601914</v>
      </c>
      <c r="G63" s="85">
        <f>SUM(G16,G29,G42,G55)</f>
        <v>658000</v>
      </c>
    </row>
    <row r="64" spans="2:10" x14ac:dyDescent="0.45">
      <c r="B64" t="s">
        <v>226</v>
      </c>
      <c r="C64" s="85"/>
      <c r="D64" s="85"/>
      <c r="E64" s="85">
        <f>IFERROR(VALUE(SUBSTITUTE(SUBSTITUTE('segments (raw)'!Y55,",",""),CHAR(160),"")),0)</f>
        <v>0</v>
      </c>
      <c r="F64" s="85">
        <f>IFERROR(VALUE(SUBSTITUTE(SUBSTITUTE('segments (raw)'!Y37,",",""),CHAR(160),"")),0)</f>
        <v>0</v>
      </c>
      <c r="G64" s="85">
        <f>+'segments (raw)'!AE16</f>
        <v>-1078</v>
      </c>
    </row>
    <row r="65" spans="2:7" x14ac:dyDescent="0.45">
      <c r="B65" s="82" t="s">
        <v>227</v>
      </c>
      <c r="C65" s="85">
        <f>+'segments (raw)'!P90</f>
        <v>-441581</v>
      </c>
      <c r="D65" s="85">
        <f>+'segments (raw)'!J90</f>
        <v>-328657</v>
      </c>
      <c r="E65" s="85">
        <f>+'segments (raw)'!Y56</f>
        <v>-356090</v>
      </c>
      <c r="F65" s="85">
        <f>+'segments (raw)'!Y38</f>
        <v>-337804</v>
      </c>
      <c r="G65" s="85">
        <f>+'segments (raw)'!AE17</f>
        <v>-343854</v>
      </c>
    </row>
    <row r="66" spans="2:7" x14ac:dyDescent="0.45">
      <c r="B66" s="82" t="s">
        <v>228</v>
      </c>
      <c r="C66" s="85">
        <f>SUM(C63:C65)</f>
        <v>-79299</v>
      </c>
      <c r="D66" s="85">
        <f>SUM(D63:D65)</f>
        <v>-7439</v>
      </c>
      <c r="E66" s="85">
        <f>SUM(E63:E65)</f>
        <v>128867</v>
      </c>
      <c r="F66" s="85">
        <f>SUM(F63:F65)</f>
        <v>264110</v>
      </c>
      <c r="G66" s="85">
        <f>SUM(G63:G65)</f>
        <v>313068</v>
      </c>
    </row>
    <row r="67" spans="2:7" x14ac:dyDescent="0.45">
      <c r="B67" s="82" t="s">
        <v>229</v>
      </c>
      <c r="C67" s="85">
        <f>+'segments (raw)'!P92</f>
        <v>-44511</v>
      </c>
      <c r="D67" s="85">
        <f>+'segments (raw)'!J92</f>
        <v>-8304</v>
      </c>
      <c r="E67" s="85">
        <f>+'segments (raw)'!Y57</f>
        <v>-1481</v>
      </c>
      <c r="F67" s="85">
        <f>VALUE(SUBSTITUTE(SUBSTITUTE('segments (raw)'!Y39,",",""),CHAR(160),""))</f>
        <v>20421</v>
      </c>
      <c r="G67" s="85">
        <f>VALUE(SUBSTITUTE(SUBSTITUTE('segments (raw)'!AE18,",",""),CHAR(160),""))</f>
        <v>29199</v>
      </c>
    </row>
    <row r="68" spans="2:7" x14ac:dyDescent="0.45">
      <c r="B68" s="82" t="s">
        <v>230</v>
      </c>
      <c r="C68" s="85">
        <f>C66+C67</f>
        <v>-123810</v>
      </c>
      <c r="D68" s="85">
        <f>D66+D67</f>
        <v>-15743</v>
      </c>
      <c r="E68" s="85">
        <f>E66+E67</f>
        <v>127386</v>
      </c>
      <c r="F68" s="85">
        <f>F66+F67</f>
        <v>284531</v>
      </c>
      <c r="G68" s="85">
        <f>G66+G67</f>
        <v>342267</v>
      </c>
    </row>
  </sheetData>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719D7-EB19-457D-8D4E-ED60E6D0F6C2}">
  <dimension ref="B1:L50"/>
  <sheetViews>
    <sheetView topLeftCell="A9" zoomScale="70" zoomScaleNormal="70" workbookViewId="0">
      <selection activeCell="C39" sqref="C39"/>
    </sheetView>
  </sheetViews>
  <sheetFormatPr defaultRowHeight="14.25" x14ac:dyDescent="0.45"/>
  <cols>
    <col min="1" max="1" width="2.6640625" customWidth="1"/>
    <col min="2" max="2" width="39.1328125" customWidth="1"/>
    <col min="3" max="7" width="16" customWidth="1"/>
  </cols>
  <sheetData>
    <row r="1" spans="2:12" ht="15.75" x14ac:dyDescent="0.5">
      <c r="B1" s="81" t="s">
        <v>352</v>
      </c>
    </row>
    <row r="2" spans="2:12" x14ac:dyDescent="0.45">
      <c r="B2" s="109" t="s">
        <v>353</v>
      </c>
    </row>
    <row r="4" spans="2:12" x14ac:dyDescent="0.45">
      <c r="B4" s="119"/>
      <c r="C4" s="120" t="s">
        <v>12</v>
      </c>
      <c r="D4" s="120" t="s">
        <v>13</v>
      </c>
      <c r="E4" s="120" t="s">
        <v>14</v>
      </c>
      <c r="F4" s="120" t="s">
        <v>15</v>
      </c>
      <c r="G4" s="120" t="s">
        <v>16</v>
      </c>
      <c r="H4" s="124" t="s">
        <v>364</v>
      </c>
      <c r="I4" s="124" t="s">
        <v>365</v>
      </c>
      <c r="J4" s="124" t="s">
        <v>366</v>
      </c>
      <c r="K4" s="124" t="s">
        <v>367</v>
      </c>
      <c r="L4" s="124" t="s">
        <v>17</v>
      </c>
    </row>
    <row r="6" spans="2:12" x14ac:dyDescent="0.45">
      <c r="B6" s="82" t="s">
        <v>236</v>
      </c>
    </row>
    <row r="7" spans="2:12" x14ac:dyDescent="0.45">
      <c r="B7" t="s">
        <v>63</v>
      </c>
      <c r="C7" s="112">
        <f>VALUE(SUBSTITUTE(SUBSTITUTE('is (raw)'!AI11,",",""),CHAR(160),""))</f>
        <v>1678195</v>
      </c>
      <c r="D7" s="112">
        <f>VALUE(SUBSTITUTE(SUBSTITUTE('is (raw)'!AC11,",",""),CHAR(160),""))</f>
        <v>1500243</v>
      </c>
      <c r="E7" s="112">
        <f>VALUE(SUBSTITUTE(SUBSTITUTE('is (raw)'!Q7,",",""),CHAR(160),""))</f>
        <v>1863489</v>
      </c>
      <c r="F7" s="112">
        <f>VALUE(SUBSTITUTE(SUBSTITUTE('is (raw)'!K7,",",""),CHAR(160),""))</f>
        <v>2131379</v>
      </c>
      <c r="G7" s="112">
        <f>VALUE(SUBSTITUTE(SUBSTITUTE('is (raw)'!E7,",",""),CHAR(160),""))</f>
        <v>2008976</v>
      </c>
    </row>
    <row r="8" spans="2:12" x14ac:dyDescent="0.45">
      <c r="B8" t="s">
        <v>70</v>
      </c>
      <c r="C8" s="112">
        <f>VALUE(SUBSTITUTE(SUBSTITUTE('is (raw)'!AH12,",",""),CHAR(160),""))</f>
        <v>303377</v>
      </c>
      <c r="D8" s="112">
        <f>VALUE(SUBSTITUTE(SUBSTITUTE('is (raw)'!AB12,",",""),CHAR(160),""))</f>
        <v>295321</v>
      </c>
      <c r="E8" s="112">
        <f>VALUE(SUBSTITUTE(SUBSTITUTE('is (raw)'!P8,",",""),CHAR(160),""))</f>
        <v>310144</v>
      </c>
      <c r="F8" s="112">
        <f>VALUE(SUBSTITUTE(SUBSTITUTE('is (raw)'!J8,",",""),CHAR(160),""))</f>
        <v>309458</v>
      </c>
      <c r="G8" s="112">
        <f>VALUE(SUBSTITUTE(SUBSTITUTE('is (raw)'!D8,",",""),CHAR(160),""))</f>
        <v>358218</v>
      </c>
    </row>
    <row r="9" spans="2:12" x14ac:dyDescent="0.45">
      <c r="B9" s="82" t="s">
        <v>76</v>
      </c>
      <c r="C9" s="121">
        <f>C7+C8</f>
        <v>1981572</v>
      </c>
      <c r="D9" s="121">
        <f>D7+D8</f>
        <v>1795564</v>
      </c>
      <c r="E9" s="121">
        <f>E7+E8</f>
        <v>2173633</v>
      </c>
      <c r="F9" s="121">
        <f>F7+F8</f>
        <v>2440837</v>
      </c>
      <c r="G9" s="121">
        <f>G7+G8</f>
        <v>2367194</v>
      </c>
      <c r="H9" s="62">
        <v>586980</v>
      </c>
      <c r="I9">
        <v>565000</v>
      </c>
      <c r="J9">
        <v>605000</v>
      </c>
      <c r="K9">
        <v>615000</v>
      </c>
      <c r="L9">
        <f>SUM(H9:K9)</f>
        <v>2371980</v>
      </c>
    </row>
    <row r="10" spans="2:12" x14ac:dyDescent="0.45">
      <c r="B10" s="110" t="s">
        <v>27</v>
      </c>
      <c r="C10" s="115" t="s">
        <v>223</v>
      </c>
      <c r="D10" s="116">
        <f>(D9-C9)/C9</f>
        <v>-9.3868908119412259E-2</v>
      </c>
      <c r="E10" s="116">
        <f>(E9-D9)/D9</f>
        <v>0.21055723995357448</v>
      </c>
      <c r="F10" s="116">
        <f>(F9-E9)/E9</f>
        <v>0.12292967580083666</v>
      </c>
      <c r="G10" s="116">
        <f>(G9-F9)/F9</f>
        <v>-3.0171207663600642E-2</v>
      </c>
      <c r="H10" s="116" t="s">
        <v>368</v>
      </c>
      <c r="I10" s="116">
        <f t="shared" ref="I10:K10" si="0">(I9-H9)/H9</f>
        <v>-3.7445909571024567E-2</v>
      </c>
      <c r="J10" s="116">
        <f t="shared" si="0"/>
        <v>7.0796460176991149E-2</v>
      </c>
      <c r="K10" s="116">
        <f t="shared" si="0"/>
        <v>1.6528925619834711E-2</v>
      </c>
      <c r="L10" s="125">
        <v>0</v>
      </c>
    </row>
    <row r="12" spans="2:12" x14ac:dyDescent="0.45">
      <c r="B12" s="82" t="s">
        <v>237</v>
      </c>
    </row>
    <row r="13" spans="2:12" x14ac:dyDescent="0.45">
      <c r="B13" t="s">
        <v>238</v>
      </c>
      <c r="C13" s="112">
        <f>VALUE(SUBSTITUTE(SUBSTITUTE('is (raw)'!AH15,",",""),CHAR(160),""))</f>
        <v>1231230</v>
      </c>
      <c r="D13" s="112">
        <f>VALUE(SUBSTITUTE(SUBSTITUTE('is (raw)'!AB15,",",""),CHAR(160),""))</f>
        <v>1102475</v>
      </c>
      <c r="E13" s="112">
        <f>VALUE(SUBSTITUTE(SUBSTITUTE('is (raw)'!P11,",",""),CHAR(160),""))</f>
        <v>1292170</v>
      </c>
      <c r="F13" s="112">
        <f>VALUE(SUBSTITUTE(SUBSTITUTE('is (raw)'!J11,",",""),CHAR(160),""))</f>
        <v>1429942</v>
      </c>
      <c r="G13" s="112">
        <f>VALUE(SUBSTITUTE(SUBSTITUTE('is (raw)'!D11,",",""),CHAR(160),""))</f>
        <v>1292329</v>
      </c>
    </row>
    <row r="14" spans="2:12" x14ac:dyDescent="0.45">
      <c r="B14" t="s">
        <v>242</v>
      </c>
      <c r="C14" s="112">
        <f>VALUE(SUBSTITUTE(SUBSTITUTE('is (raw)'!AH16,",",""),CHAR(160),""))</f>
        <v>177173</v>
      </c>
      <c r="D14" s="112">
        <f>VALUE(SUBSTITUTE(SUBSTITUTE('is (raw)'!AB16,",",""),CHAR(160),""))</f>
        <v>170900</v>
      </c>
      <c r="E14" s="112">
        <f>VALUE(SUBSTITUTE(SUBSTITUTE('is (raw)'!P12,",",""),CHAR(160),""))</f>
        <v>167555</v>
      </c>
      <c r="F14" s="112">
        <f>VALUE(SUBSTITUTE(SUBSTITUTE('is (raw)'!J12,",",""),CHAR(160),""))</f>
        <v>171578</v>
      </c>
      <c r="G14" s="112">
        <f>VALUE(SUBSTITUTE(SUBSTITUTE('is (raw)'!D12,",",""),CHAR(160),""))</f>
        <v>182747</v>
      </c>
    </row>
    <row r="15" spans="2:12" x14ac:dyDescent="0.45">
      <c r="B15" s="82" t="s">
        <v>246</v>
      </c>
      <c r="C15" s="121">
        <f>C13+C14</f>
        <v>1408403</v>
      </c>
      <c r="D15" s="121">
        <f>D13+D14</f>
        <v>1273375</v>
      </c>
      <c r="E15" s="121">
        <f>E13+E14</f>
        <v>1459725</v>
      </c>
      <c r="F15" s="121">
        <f>F13+F14</f>
        <v>1601520</v>
      </c>
      <c r="G15" s="121">
        <f>G13+G14</f>
        <v>1475076</v>
      </c>
    </row>
    <row r="17" spans="2:7" x14ac:dyDescent="0.45">
      <c r="B17" s="82" t="s">
        <v>188</v>
      </c>
      <c r="C17" s="113">
        <f>C9-C15</f>
        <v>573169</v>
      </c>
      <c r="D17" s="113">
        <f>D9-D15</f>
        <v>522189</v>
      </c>
      <c r="E17" s="113">
        <f>E9-E15</f>
        <v>713908</v>
      </c>
      <c r="F17" s="113">
        <f>F9-F15</f>
        <v>839317</v>
      </c>
      <c r="G17" s="113">
        <f>G9-G15</f>
        <v>892118</v>
      </c>
    </row>
    <row r="18" spans="2:7" x14ac:dyDescent="0.45">
      <c r="B18" s="110" t="s">
        <v>354</v>
      </c>
      <c r="C18" s="116">
        <f>C17/C9</f>
        <v>0.28924964624045957</v>
      </c>
      <c r="D18" s="116">
        <f>D17/D9</f>
        <v>0.29082171395728584</v>
      </c>
      <c r="E18" s="116">
        <f>E17/E9</f>
        <v>0.32843998963946536</v>
      </c>
      <c r="F18" s="116">
        <f>F17/F9</f>
        <v>0.34386442027878139</v>
      </c>
      <c r="G18" s="116">
        <f>G17/G9</f>
        <v>0.37686729520267453</v>
      </c>
    </row>
    <row r="20" spans="2:7" x14ac:dyDescent="0.45">
      <c r="B20" s="82" t="s">
        <v>252</v>
      </c>
    </row>
    <row r="21" spans="2:7" x14ac:dyDescent="0.45">
      <c r="B21" t="s">
        <v>253</v>
      </c>
      <c r="C21" s="112">
        <f>VALUE(SUBSTITUTE(SUBSTITUTE('is (raw)'!AH21,",",""),CHAR(160),""))</f>
        <v>300520</v>
      </c>
      <c r="D21" s="112">
        <f>VALUE(SUBSTITUTE(SUBSTITUTE('is (raw)'!AB21,",",""),CHAR(160),""))</f>
        <v>290453</v>
      </c>
      <c r="E21" s="112">
        <f>VALUE(SUBSTITUTE(SUBSTITUTE('is (raw)'!P17,",",""),CHAR(160),""))</f>
        <v>312779</v>
      </c>
      <c r="F21" s="112">
        <f>VALUE(SUBSTITUTE(SUBSTITUTE('is (raw)'!J17,",",""),CHAR(160),""))</f>
        <v>339069</v>
      </c>
      <c r="G21" s="112">
        <f>VALUE(SUBSTITUTE(SUBSTITUTE('is (raw)'!D17,",",""),CHAR(160),""))</f>
        <v>352965</v>
      </c>
    </row>
    <row r="22" spans="2:7" x14ac:dyDescent="0.45">
      <c r="B22" t="s">
        <v>257</v>
      </c>
      <c r="C22" s="112">
        <f>VALUE(SUBSTITUTE(SUBSTITUTE('is (raw)'!AH22,",",""),CHAR(160),""))</f>
        <v>197235</v>
      </c>
      <c r="D22" s="112">
        <f>VALUE(SUBSTITUTE(SUBSTITUTE('is (raw)'!AB22,",",""),CHAR(160),""))</f>
        <v>185098</v>
      </c>
      <c r="E22" s="112">
        <f>VALUE(SUBSTITUTE(SUBSTITUTE('is (raw)'!P18,",",""),CHAR(160),""))</f>
        <v>208688</v>
      </c>
      <c r="F22" s="112">
        <f>VALUE(SUBSTITUTE(SUBSTITUTE('is (raw)'!J18,",",""),CHAR(160),""))</f>
        <v>215034</v>
      </c>
      <c r="G22" s="112">
        <f>VALUE(SUBSTITUTE(SUBSTITUTE('is (raw)'!D18,",",""),CHAR(160),""))</f>
        <v>207041</v>
      </c>
    </row>
    <row r="23" spans="2:7" x14ac:dyDescent="0.45">
      <c r="B23" t="s">
        <v>261</v>
      </c>
      <c r="C23" s="112">
        <f>VALUE(SUBSTITUTE(SUBSTITUTE('is (raw)'!AH24,",",""),CHAR(160),""))</f>
        <v>35801</v>
      </c>
      <c r="D23" s="112">
        <f>VALUE(SUBSTITUTE(SUBSTITUTE('is (raw)'!AB24,",",""),CHAR(160),""))</f>
        <v>25717</v>
      </c>
      <c r="E23" s="112">
        <f>VALUE(SUBSTITUTE(SUBSTITUTE('is (raw)'!P20,",",""),CHAR(160),""))</f>
        <v>18918</v>
      </c>
      <c r="F23" s="112">
        <f>VALUE(SUBSTITUTE(SUBSTITUTE('is (raw)'!J20,",",""),CHAR(160),""))</f>
        <v>17828</v>
      </c>
      <c r="G23" s="112">
        <f>VALUE(SUBSTITUTE(SUBSTITUTE('is (raw)'!D20,",",""),CHAR(160),""))</f>
        <v>18034</v>
      </c>
    </row>
    <row r="24" spans="2:7" x14ac:dyDescent="0.45">
      <c r="B24" t="s">
        <v>265</v>
      </c>
      <c r="C24" s="112">
        <f>VALUE(SUBSTITUTE(SUBSTITUTE('is (raw)'!AH25,",",""),CHAR(160),""))</f>
        <v>54623</v>
      </c>
      <c r="D24" s="112">
        <f>VALUE(SUBSTITUTE(SUBSTITUTE('is (raw)'!AB25,",",""),CHAR(160),""))</f>
        <v>-13625</v>
      </c>
      <c r="E24" s="112">
        <f>VALUE(SUBSTITUTE(SUBSTITUTE('is (raw)'!P21,",",""),CHAR(160),""))</f>
        <v>43989</v>
      </c>
      <c r="F24" s="112">
        <f>VALUE(SUBSTITUTE(SUBSTITUTE('is (raw)'!J21,",",""),CHAR(160),""))</f>
        <v>2679</v>
      </c>
      <c r="G24" s="112">
        <f>VALUE(SUBSTITUTE(SUBSTITUTE('is (raw)'!D21,",",""),CHAR(160),""))</f>
        <v>931</v>
      </c>
    </row>
    <row r="25" spans="2:7" x14ac:dyDescent="0.45">
      <c r="B25" t="s">
        <v>355</v>
      </c>
      <c r="C25" s="112">
        <f>VALUE(SUBSTITUTE(SUBSTITUTE('is (raw)'!AH26,",",""),CHAR(160),""))</f>
        <v>64289</v>
      </c>
      <c r="D25" s="112">
        <f>VALUE(SUBSTITUTE(SUBSTITUTE('is (raw)'!AB26,",",""),CHAR(160),""))</f>
        <v>3505</v>
      </c>
      <c r="E25" s="112">
        <f>VALUE(SUBSTITUTE(SUBSTITUTE('is (raw)'!P22,",",""),CHAR(160),""))</f>
        <v>667</v>
      </c>
      <c r="F25" s="112">
        <f>VALUE(SUBSTITUTE(SUBSTITUTE('is (raw)'!J22,",",""),CHAR(160),""))</f>
        <v>597</v>
      </c>
      <c r="G25" s="112">
        <f>VALUE(SUBSTITUTE(SUBSTITUTE('is (raw)'!D22,",",""),CHAR(160),""))</f>
        <v>79</v>
      </c>
    </row>
    <row r="26" spans="2:7" x14ac:dyDescent="0.45">
      <c r="B26" t="s">
        <v>335</v>
      </c>
      <c r="C26" s="112">
        <f>IFERROR(VALUE(SUBSTITUTE(SUBSTITUTE('is (raw)'!AH27,",",""),CHAR(160),"")),0)</f>
        <v>0</v>
      </c>
      <c r="D26" s="112">
        <f>IFERROR(VALUE(SUBSTITUTE(SUBSTITUTE('is (raw)'!AB27,",",""),CHAR(160),"")),0)</f>
        <v>38480</v>
      </c>
      <c r="E26" s="112">
        <f>IFERROR(VALUE(SUBSTITUTE(SUBSTITUTE('is (raw)'!V27,",",""),CHAR(160),"")),0)</f>
        <v>0</v>
      </c>
      <c r="F26" s="114">
        <v>0</v>
      </c>
      <c r="G26" s="114">
        <v>0</v>
      </c>
    </row>
    <row r="27" spans="2:7" x14ac:dyDescent="0.45">
      <c r="B27" s="82" t="s">
        <v>273</v>
      </c>
      <c r="C27" s="121">
        <f>SUM(C21:C26)</f>
        <v>652468</v>
      </c>
      <c r="D27" s="121">
        <f>SUM(D21:D26)</f>
        <v>529628</v>
      </c>
      <c r="E27" s="121">
        <f>SUM(E21:E26)</f>
        <v>585041</v>
      </c>
      <c r="F27" s="121">
        <f>SUM(F21:F26)</f>
        <v>575207</v>
      </c>
      <c r="G27" s="121">
        <f>SUM(G21:G26)</f>
        <v>579050</v>
      </c>
    </row>
    <row r="29" spans="2:7" x14ac:dyDescent="0.45">
      <c r="B29" s="82" t="s">
        <v>201</v>
      </c>
      <c r="C29" s="113">
        <f>C17-C27</f>
        <v>-79299</v>
      </c>
      <c r="D29" s="113">
        <f>D17-D27</f>
        <v>-7439</v>
      </c>
      <c r="E29" s="113">
        <f>E17-E27</f>
        <v>128867</v>
      </c>
      <c r="F29" s="113">
        <f>F17-F27</f>
        <v>264110</v>
      </c>
      <c r="G29" s="113">
        <f>G17-G27</f>
        <v>313068</v>
      </c>
    </row>
    <row r="30" spans="2:7" x14ac:dyDescent="0.45">
      <c r="B30" s="110" t="s">
        <v>356</v>
      </c>
      <c r="C30" s="116">
        <f>C29/C9</f>
        <v>-4.0018227952352978E-2</v>
      </c>
      <c r="D30" s="116">
        <f>D29/D9</f>
        <v>-4.1429879413933451E-3</v>
      </c>
      <c r="E30" s="116">
        <f>E29/E9</f>
        <v>5.9286457281426994E-2</v>
      </c>
      <c r="F30" s="116">
        <f>F29/F9</f>
        <v>0.10820468552385923</v>
      </c>
      <c r="G30" s="116">
        <f>G29/G9</f>
        <v>0.13225278536528903</v>
      </c>
    </row>
    <row r="32" spans="2:7" x14ac:dyDescent="0.45">
      <c r="B32" s="82" t="s">
        <v>280</v>
      </c>
    </row>
    <row r="33" spans="2:7" x14ac:dyDescent="0.45">
      <c r="B33" t="s">
        <v>281</v>
      </c>
      <c r="C33" s="112">
        <f>VALUE(SUBSTITUTE(SUBSTITUTE('is (raw)'!AH32,",",""),CHAR(160),""))</f>
        <v>1557</v>
      </c>
      <c r="D33" s="112">
        <f>VALUE(SUBSTITUTE(SUBSTITUTE('is (raw)'!AB32,",",""),CHAR(160),""))</f>
        <v>2633</v>
      </c>
      <c r="E33" s="112">
        <f>VALUE(SUBSTITUTE(SUBSTITUTE('is (raw)'!P28,",",""),CHAR(160),""))</f>
        <v>9314</v>
      </c>
      <c r="F33" s="112">
        <f>VALUE(SUBSTITUTE(SUBSTITUTE('is (raw)'!J28,",",""),CHAR(160),""))</f>
        <v>34577</v>
      </c>
      <c r="G33" s="112">
        <f>VALUE(SUBSTITUTE(SUBSTITUTE('is (raw)'!D28,",",""),CHAR(160),""))</f>
        <v>48376</v>
      </c>
    </row>
    <row r="34" spans="2:7" x14ac:dyDescent="0.45">
      <c r="B34" t="s">
        <v>285</v>
      </c>
      <c r="C34" s="112">
        <f>VALUE(SUBSTITUTE(SUBSTITUTE('is (raw)'!AH33,",",""),CHAR(160),""))</f>
        <v>-28638</v>
      </c>
      <c r="D34" s="112">
        <f>VALUE(SUBSTITUTE(SUBSTITUTE('is (raw)'!AB33,",",""),CHAR(160),""))</f>
        <v>-6724</v>
      </c>
      <c r="E34" s="112">
        <f>VALUE(SUBSTITUTE(SUBSTITUTE('is (raw)'!P29,",",""),CHAR(160),""))</f>
        <v>-8349</v>
      </c>
      <c r="F34" s="112">
        <f>VALUE(SUBSTITUTE(SUBSTITUTE('is (raw)'!J29,",",""),CHAR(160),""))</f>
        <v>-15379</v>
      </c>
      <c r="G34" s="112">
        <f>VALUE(SUBSTITUTE(SUBSTITUTE('is (raw)'!D29,",",""),CHAR(160),""))</f>
        <v>-22451</v>
      </c>
    </row>
    <row r="35" spans="2:7" x14ac:dyDescent="0.45">
      <c r="B35" t="s">
        <v>286</v>
      </c>
      <c r="C35" s="112">
        <f>VALUE(SUBSTITUTE(SUBSTITUTE('is (raw)'!AH34,",",""),CHAR(160),""))</f>
        <v>-17430</v>
      </c>
      <c r="D35" s="112">
        <f>VALUE(SUBSTITUTE(SUBSTITUTE('is (raw)'!AB34,",",""),CHAR(160),""))</f>
        <v>-4213</v>
      </c>
      <c r="E35" s="112">
        <f>VALUE(SUBSTITUTE(SUBSTITUTE('is (raw)'!P30,",",""),CHAR(160),""))</f>
        <v>-2446</v>
      </c>
      <c r="F35" s="112">
        <f>VALUE(SUBSTITUTE(SUBSTITUTE('is (raw)'!J30,",",""),CHAR(160),""))</f>
        <v>1223</v>
      </c>
      <c r="G35" s="112">
        <f>VALUE(SUBSTITUTE(SUBSTITUTE('is (raw)'!D30,",",""),CHAR(160),""))</f>
        <v>3274</v>
      </c>
    </row>
    <row r="36" spans="2:7" x14ac:dyDescent="0.45">
      <c r="B36" s="82" t="s">
        <v>104</v>
      </c>
      <c r="C36" s="121">
        <f>SUM(C33:C35)</f>
        <v>-44511</v>
      </c>
      <c r="D36" s="121">
        <f>SUM(D33:D35)</f>
        <v>-8304</v>
      </c>
      <c r="E36" s="121">
        <f>SUM(E33:E35)</f>
        <v>-1481</v>
      </c>
      <c r="F36" s="121">
        <f>SUM(F33:F35)</f>
        <v>20421</v>
      </c>
      <c r="G36" s="121">
        <f>SUM(G33:G35)</f>
        <v>29199</v>
      </c>
    </row>
    <row r="38" spans="2:7" x14ac:dyDescent="0.45">
      <c r="B38" s="82" t="s">
        <v>289</v>
      </c>
      <c r="C38" s="113">
        <f>C29+C36</f>
        <v>-123810</v>
      </c>
      <c r="D38" s="113">
        <f>D29+D36</f>
        <v>-15743</v>
      </c>
      <c r="E38" s="113">
        <f>E29+E36</f>
        <v>127386</v>
      </c>
      <c r="F38" s="113">
        <f>F29+F36</f>
        <v>284531</v>
      </c>
      <c r="G38" s="113">
        <f>G29+G36</f>
        <v>342267</v>
      </c>
    </row>
    <row r="39" spans="2:7" x14ac:dyDescent="0.45">
      <c r="B39" t="s">
        <v>341</v>
      </c>
      <c r="C39" s="112">
        <f>VALUE(SUBSTITUTE(SUBSTITUTE('is (raw)'!AH38,",",""),CHAR(160),""))</f>
        <v>45512</v>
      </c>
      <c r="D39" s="112">
        <f>VALUE(SUBSTITUTE(SUBSTITUTE('is (raw)'!AB38,",",""),CHAR(160),""))</f>
        <v>6196</v>
      </c>
      <c r="E39" s="112">
        <f>VALUE(SUBSTITUTE(SUBSTITUTE('is (raw)'!P34,",",""),CHAR(160),""))</f>
        <v>-29068</v>
      </c>
      <c r="F39" s="112">
        <f>VALUE(SUBSTITUTE(SUBSTITUTE('is (raw)'!J34,",",""),CHAR(160),""))</f>
        <v>-43407</v>
      </c>
      <c r="G39" s="112">
        <f>VALUE(SUBSTITUTE(SUBSTITUTE('is (raw)'!D34,",",""),CHAR(160),""))</f>
        <v>-38932</v>
      </c>
    </row>
    <row r="40" spans="2:7" x14ac:dyDescent="0.45">
      <c r="B40" s="111" t="s">
        <v>357</v>
      </c>
      <c r="C40" s="116">
        <f>-C39/C38</f>
        <v>0.36759550924804135</v>
      </c>
      <c r="D40" s="116">
        <f>-D39/D38</f>
        <v>0.39357174617290225</v>
      </c>
      <c r="E40" s="116">
        <f>-E39/E38</f>
        <v>0.22818834094798487</v>
      </c>
      <c r="F40" s="116">
        <f>-F39/F38</f>
        <v>0.15255631196600722</v>
      </c>
      <c r="G40" s="116">
        <f>-G39/G38</f>
        <v>0.11374745447267777</v>
      </c>
    </row>
    <row r="41" spans="2:7" x14ac:dyDescent="0.45">
      <c r="B41" s="82" t="s">
        <v>344</v>
      </c>
      <c r="C41" s="121">
        <f>C38+C39</f>
        <v>-78298</v>
      </c>
      <c r="D41" s="121">
        <f>D38+D39</f>
        <v>-9547</v>
      </c>
      <c r="E41" s="121">
        <f>E38+E39</f>
        <v>98318</v>
      </c>
      <c r="F41" s="121">
        <f>F38+F39</f>
        <v>241124</v>
      </c>
      <c r="G41" s="121">
        <f>G38+G39</f>
        <v>303335</v>
      </c>
    </row>
    <row r="42" spans="2:7" x14ac:dyDescent="0.45">
      <c r="B42" s="110" t="s">
        <v>358</v>
      </c>
      <c r="C42" s="116">
        <f>C41/C9</f>
        <v>-3.9513073458849843E-2</v>
      </c>
      <c r="D42" s="116">
        <f>D41/D9</f>
        <v>-5.3169923210757176E-3</v>
      </c>
      <c r="E42" s="116">
        <f>E41/E9</f>
        <v>4.5232106799997979E-2</v>
      </c>
      <c r="F42" s="116">
        <f>F41/F9</f>
        <v>9.8787424149994446E-2</v>
      </c>
      <c r="G42" s="116">
        <f>G41/G9</f>
        <v>0.12814116629224306</v>
      </c>
    </row>
    <row r="43" spans="2:7" x14ac:dyDescent="0.45">
      <c r="B43" t="s">
        <v>359</v>
      </c>
      <c r="C43" s="112">
        <f>VALUE(SUBSTITUTE(SUBSTITUTE('is (raw)'!AH40,",",""),CHAR(160),""))</f>
        <v>2957</v>
      </c>
      <c r="D43" s="112">
        <f>VALUE(SUBSTITUTE(SUBSTITUTE('is (raw)'!AB40,",",""),CHAR(160),""))</f>
        <v>185</v>
      </c>
      <c r="E43" s="112">
        <f>VALUE(SUBSTITUTE(SUBSTITUTE('is (raw)'!P36,",",""),CHAR(160),""))</f>
        <v>1395</v>
      </c>
      <c r="F43" s="112">
        <f>VALUE(SUBSTITUTE(SUBSTITUTE('is (raw)'!J36,",",""),CHAR(160),""))</f>
        <v>2019</v>
      </c>
      <c r="G43" s="112">
        <f>VALUE(SUBSTITUTE(SUBSTITUTE('is (raw)'!D36,",",""),CHAR(160),""))</f>
        <v>2280</v>
      </c>
    </row>
    <row r="44" spans="2:7" ht="14.65" thickBot="1" x14ac:dyDescent="0.5">
      <c r="B44" s="82" t="s">
        <v>347</v>
      </c>
      <c r="C44" s="122">
        <f>C41-C43</f>
        <v>-81255</v>
      </c>
      <c r="D44" s="122">
        <f>D41-D43</f>
        <v>-9732</v>
      </c>
      <c r="E44" s="122">
        <f>E41-E43</f>
        <v>96923</v>
      </c>
      <c r="F44" s="122">
        <f>F41-F43</f>
        <v>239105</v>
      </c>
      <c r="G44" s="122">
        <f>G41-G43</f>
        <v>301055</v>
      </c>
    </row>
    <row r="45" spans="2:7" ht="14.65" thickTop="1" x14ac:dyDescent="0.45"/>
    <row r="46" spans="2:7" x14ac:dyDescent="0.45">
      <c r="B46" t="s">
        <v>360</v>
      </c>
      <c r="C46" s="117">
        <f>VALUE(SUBSTITUTE(SUBSTITUTE('is (raw)'!AI43,",",""),CHAR(160),""))</f>
        <v>-1.83</v>
      </c>
      <c r="D46" s="117">
        <f>VALUE(SUBSTITUTE(SUBSTITUTE('is (raw)'!AC43,",",""),CHAR(160),""))</f>
        <v>-0.22</v>
      </c>
      <c r="E46" s="117">
        <f>VALUE(SUBSTITUTE(SUBSTITUTE('is (raw)'!Q39,",",""),CHAR(160),""))</f>
        <v>2.13</v>
      </c>
      <c r="F46" s="117">
        <f>VALUE(SUBSTITUTE(SUBSTITUTE('is (raw)'!K39,",",""),CHAR(160),""))</f>
        <v>5.27</v>
      </c>
      <c r="G46" s="117">
        <f>VALUE(SUBSTITUTE(SUBSTITUTE('is (raw)'!E39,",",""),CHAR(160),""))</f>
        <v>6.62</v>
      </c>
    </row>
    <row r="47" spans="2:7" x14ac:dyDescent="0.45">
      <c r="B47" t="s">
        <v>361</v>
      </c>
      <c r="C47" s="117">
        <f>VALUE(SUBSTITUTE(SUBSTITUTE('is (raw)'!AI44,",",""),CHAR(160),""))</f>
        <v>-1.83</v>
      </c>
      <c r="D47" s="117">
        <f>VALUE(SUBSTITUTE(SUBSTITUTE('is (raw)'!AC44,",",""),CHAR(160),""))</f>
        <v>-0.22</v>
      </c>
      <c r="E47" s="117">
        <f>VALUE(SUBSTITUTE(SUBSTITUTE('is (raw)'!Q40,",",""),CHAR(160),""))</f>
        <v>2.11</v>
      </c>
      <c r="F47" s="117">
        <f>VALUE(SUBSTITUTE(SUBSTITUTE('is (raw)'!K40,",",""),CHAR(160),""))</f>
        <v>5.18</v>
      </c>
      <c r="G47" s="117">
        <f>VALUE(SUBSTITUTE(SUBSTITUTE('is (raw)'!E40,",",""),CHAR(160),""))</f>
        <v>6.5</v>
      </c>
    </row>
    <row r="49" spans="2:7" x14ac:dyDescent="0.45">
      <c r="B49" t="s">
        <v>362</v>
      </c>
      <c r="C49" s="118">
        <f>VALUE(SUBSTITUTE(SUBSTITUTE('is (raw)'!AH46,",",""),CHAR(160),""))</f>
        <v>44301</v>
      </c>
      <c r="D49" s="118">
        <f>VALUE(SUBSTITUTE(SUBSTITUTE('is (raw)'!AB46,",",""),CHAR(160),""))</f>
        <v>45101</v>
      </c>
      <c r="E49" s="118">
        <f>VALUE(SUBSTITUTE(SUBSTITUTE('is (raw)'!P42,",",""),CHAR(160),""))</f>
        <v>45421</v>
      </c>
      <c r="F49" s="118">
        <f>VALUE(SUBSTITUTE(SUBSTITUTE('is (raw)'!J42,",",""),CHAR(160),""))</f>
        <v>45368</v>
      </c>
      <c r="G49" s="118">
        <f>VALUE(SUBSTITUTE(SUBSTITUTE('is (raw)'!D42,",",""),CHAR(160),""))</f>
        <v>45492</v>
      </c>
    </row>
    <row r="50" spans="2:7" x14ac:dyDescent="0.45">
      <c r="B50" t="s">
        <v>363</v>
      </c>
      <c r="C50" s="118">
        <f>VALUE(SUBSTITUTE(SUBSTITUTE('is (raw)'!AH47,",",""),CHAR(160),""))</f>
        <v>44301</v>
      </c>
      <c r="D50" s="118">
        <f>VALUE(SUBSTITUTE(SUBSTITUTE('is (raw)'!AB47,",",""),CHAR(160),""))</f>
        <v>45101</v>
      </c>
      <c r="E50" s="118">
        <f>VALUE(SUBSTITUTE(SUBSTITUTE('is (raw)'!P43,",",""),CHAR(160),""))</f>
        <v>45836</v>
      </c>
      <c r="F50" s="118">
        <f>VALUE(SUBSTITUTE(SUBSTITUTE('is (raw)'!J43,",",""),CHAR(160),""))</f>
        <v>46187</v>
      </c>
      <c r="G50" s="118">
        <f>VALUE(SUBSTITUTE(SUBSTITUTE('is (raw)'!D43,",",""),CHAR(160),""))</f>
        <v>46323</v>
      </c>
    </row>
  </sheetData>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50F25-2BE7-43A1-8E37-A26CF778F1AA}">
  <dimension ref="A1:AG94"/>
  <sheetViews>
    <sheetView showGridLines="0" topLeftCell="F1" zoomScale="55" zoomScaleNormal="55" workbookViewId="0">
      <selection activeCell="V17" sqref="V17:X17"/>
    </sheetView>
  </sheetViews>
  <sheetFormatPr defaultRowHeight="14.25" x14ac:dyDescent="0.45"/>
  <sheetData>
    <row r="1" spans="1:33" ht="17.649999999999999" x14ac:dyDescent="0.45">
      <c r="A1" s="63"/>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3"/>
      <c r="AF1" s="63"/>
      <c r="AG1" s="63"/>
    </row>
    <row r="2" spans="1:33" ht="19.149999999999999" thickBot="1" x14ac:dyDescent="0.5">
      <c r="A2" s="225"/>
      <c r="B2" s="225"/>
      <c r="C2" s="225"/>
      <c r="D2" s="225"/>
      <c r="E2" s="225"/>
      <c r="F2" s="225"/>
      <c r="G2" s="242" t="s">
        <v>57</v>
      </c>
      <c r="H2" s="242"/>
      <c r="I2" s="242"/>
      <c r="J2" s="242"/>
      <c r="K2" s="242"/>
      <c r="L2" s="242"/>
      <c r="M2" s="242"/>
      <c r="N2" s="242"/>
      <c r="O2" s="242"/>
      <c r="P2" s="242"/>
      <c r="Q2" s="242"/>
      <c r="R2" s="242"/>
      <c r="S2" s="242"/>
      <c r="T2" s="242"/>
      <c r="U2" s="242"/>
      <c r="V2" s="242"/>
      <c r="W2" s="242"/>
      <c r="X2" s="242"/>
      <c r="Y2" s="242"/>
      <c r="Z2" s="242"/>
      <c r="AA2" s="242"/>
      <c r="AB2" s="242"/>
      <c r="AC2" s="242"/>
      <c r="AD2" s="242"/>
      <c r="AE2" s="242"/>
      <c r="AF2" s="242"/>
      <c r="AG2" s="242"/>
    </row>
    <row r="3" spans="1:33" ht="19.149999999999999" thickBot="1" x14ac:dyDescent="0.5">
      <c r="A3" s="226" t="s">
        <v>58</v>
      </c>
      <c r="B3" s="226"/>
      <c r="C3" s="226"/>
      <c r="D3" s="240"/>
      <c r="E3" s="240"/>
      <c r="F3" s="240"/>
      <c r="G3" s="227" t="s">
        <v>59</v>
      </c>
      <c r="H3" s="227"/>
      <c r="I3" s="227"/>
      <c r="J3" s="224"/>
      <c r="K3" s="224"/>
      <c r="L3" s="224"/>
      <c r="M3" s="237" t="s">
        <v>60</v>
      </c>
      <c r="N3" s="237"/>
      <c r="O3" s="237"/>
      <c r="P3" s="224"/>
      <c r="Q3" s="224"/>
      <c r="R3" s="224"/>
      <c r="S3" s="227" t="s">
        <v>61</v>
      </c>
      <c r="T3" s="227"/>
      <c r="U3" s="227"/>
      <c r="V3" s="224"/>
      <c r="W3" s="224"/>
      <c r="X3" s="224"/>
      <c r="Y3" s="237" t="s">
        <v>62</v>
      </c>
      <c r="Z3" s="237"/>
      <c r="AA3" s="237"/>
      <c r="AB3" s="224"/>
      <c r="AC3" s="224"/>
      <c r="AD3" s="224"/>
      <c r="AE3" s="237" t="s">
        <v>30</v>
      </c>
      <c r="AF3" s="237"/>
      <c r="AG3" s="237"/>
    </row>
    <row r="4" spans="1:33" ht="17.649999999999999" x14ac:dyDescent="0.5">
      <c r="A4" s="241" t="s">
        <v>63</v>
      </c>
      <c r="B4" s="241"/>
      <c r="C4" s="241"/>
      <c r="D4" s="239"/>
      <c r="E4" s="239"/>
      <c r="F4" s="239"/>
      <c r="G4" s="64" t="s">
        <v>64</v>
      </c>
      <c r="H4" s="65" t="s">
        <v>65</v>
      </c>
      <c r="I4" s="66"/>
      <c r="J4" s="208"/>
      <c r="K4" s="208"/>
      <c r="L4" s="208"/>
      <c r="M4" s="64" t="s">
        <v>64</v>
      </c>
      <c r="N4" s="65" t="s">
        <v>66</v>
      </c>
      <c r="O4" s="66"/>
      <c r="P4" s="208"/>
      <c r="Q4" s="208"/>
      <c r="R4" s="208"/>
      <c r="S4" s="64" t="s">
        <v>64</v>
      </c>
      <c r="T4" s="65" t="s">
        <v>67</v>
      </c>
      <c r="U4" s="66"/>
      <c r="V4" s="208"/>
      <c r="W4" s="208"/>
      <c r="X4" s="208"/>
      <c r="Y4" s="64" t="s">
        <v>64</v>
      </c>
      <c r="Z4" s="65" t="s">
        <v>68</v>
      </c>
      <c r="AA4" s="66"/>
      <c r="AB4" s="208"/>
      <c r="AC4" s="208"/>
      <c r="AD4" s="208"/>
      <c r="AE4" s="64" t="s">
        <v>64</v>
      </c>
      <c r="AF4" s="65" t="s">
        <v>69</v>
      </c>
      <c r="AG4" s="66"/>
    </row>
    <row r="5" spans="1:33" ht="18" thickBot="1" x14ac:dyDescent="0.55000000000000004">
      <c r="A5" s="233" t="s">
        <v>70</v>
      </c>
      <c r="B5" s="233"/>
      <c r="C5" s="233"/>
      <c r="D5" s="211"/>
      <c r="E5" s="211"/>
      <c r="F5" s="211"/>
      <c r="G5" s="234" t="s">
        <v>71</v>
      </c>
      <c r="H5" s="234"/>
      <c r="I5" s="67"/>
      <c r="J5" s="211"/>
      <c r="K5" s="211"/>
      <c r="L5" s="211"/>
      <c r="M5" s="234" t="s">
        <v>72</v>
      </c>
      <c r="N5" s="234"/>
      <c r="O5" s="67"/>
      <c r="P5" s="211"/>
      <c r="Q5" s="211"/>
      <c r="R5" s="211"/>
      <c r="S5" s="234" t="s">
        <v>73</v>
      </c>
      <c r="T5" s="234"/>
      <c r="U5" s="67"/>
      <c r="V5" s="211"/>
      <c r="W5" s="211"/>
      <c r="X5" s="211"/>
      <c r="Y5" s="234" t="s">
        <v>74</v>
      </c>
      <c r="Z5" s="234"/>
      <c r="AA5" s="67"/>
      <c r="AB5" s="211"/>
      <c r="AC5" s="211"/>
      <c r="AD5" s="211"/>
      <c r="AE5" s="234" t="s">
        <v>75</v>
      </c>
      <c r="AF5" s="234"/>
      <c r="AG5" s="67"/>
    </row>
    <row r="6" spans="1:33" ht="17.649999999999999" x14ac:dyDescent="0.5">
      <c r="A6" s="229" t="s">
        <v>76</v>
      </c>
      <c r="B6" s="229"/>
      <c r="C6" s="229"/>
      <c r="D6" s="208"/>
      <c r="E6" s="208"/>
      <c r="F6" s="208"/>
      <c r="G6" s="213" t="s">
        <v>77</v>
      </c>
      <c r="H6" s="213"/>
      <c r="I6" s="66"/>
      <c r="J6" s="208"/>
      <c r="K6" s="208"/>
      <c r="L6" s="208"/>
      <c r="M6" s="213" t="s">
        <v>78</v>
      </c>
      <c r="N6" s="213"/>
      <c r="O6" s="66"/>
      <c r="P6" s="208"/>
      <c r="Q6" s="208"/>
      <c r="R6" s="208"/>
      <c r="S6" s="213" t="s">
        <v>79</v>
      </c>
      <c r="T6" s="213"/>
      <c r="U6" s="66"/>
      <c r="V6" s="208"/>
      <c r="W6" s="208"/>
      <c r="X6" s="208"/>
      <c r="Y6" s="213" t="s">
        <v>74</v>
      </c>
      <c r="Z6" s="213"/>
      <c r="AA6" s="66"/>
      <c r="AB6" s="208"/>
      <c r="AC6" s="208"/>
      <c r="AD6" s="208"/>
      <c r="AE6" s="213" t="s">
        <v>80</v>
      </c>
      <c r="AF6" s="213"/>
      <c r="AG6" s="66"/>
    </row>
    <row r="7" spans="1:33" ht="17.649999999999999" x14ac:dyDescent="0.5">
      <c r="A7" s="233" t="s">
        <v>81</v>
      </c>
      <c r="B7" s="233"/>
      <c r="C7" s="233"/>
      <c r="D7" s="211"/>
      <c r="E7" s="211"/>
      <c r="F7" s="211"/>
      <c r="G7" s="216" t="s">
        <v>82</v>
      </c>
      <c r="H7" s="216"/>
      <c r="I7" s="67"/>
      <c r="J7" s="211"/>
      <c r="K7" s="211"/>
      <c r="L7" s="211"/>
      <c r="M7" s="216" t="s">
        <v>83</v>
      </c>
      <c r="N7" s="216"/>
      <c r="O7" s="67"/>
      <c r="P7" s="211"/>
      <c r="Q7" s="211"/>
      <c r="R7" s="211"/>
      <c r="S7" s="216" t="s">
        <v>84</v>
      </c>
      <c r="T7" s="216"/>
      <c r="U7" s="67"/>
      <c r="V7" s="211"/>
      <c r="W7" s="211"/>
      <c r="X7" s="211"/>
      <c r="Y7" s="216" t="s">
        <v>85</v>
      </c>
      <c r="Z7" s="216"/>
      <c r="AA7" s="67"/>
      <c r="AB7" s="211"/>
      <c r="AC7" s="211"/>
      <c r="AD7" s="211"/>
      <c r="AE7" s="211"/>
      <c r="AF7" s="211"/>
      <c r="AG7" s="211"/>
    </row>
    <row r="9" spans="1:33" ht="17.649999999999999" x14ac:dyDescent="0.45">
      <c r="A9" s="208"/>
      <c r="B9" s="208"/>
      <c r="C9" s="208"/>
      <c r="D9" s="208"/>
      <c r="E9" s="208"/>
      <c r="F9" s="208"/>
      <c r="G9" s="208"/>
      <c r="H9" s="208"/>
      <c r="I9" s="208"/>
      <c r="J9" s="208"/>
      <c r="K9" s="208"/>
      <c r="L9" s="208"/>
      <c r="M9" s="208"/>
      <c r="N9" s="208"/>
      <c r="O9" s="208"/>
      <c r="P9" s="208"/>
      <c r="Q9" s="208"/>
      <c r="R9" s="208"/>
      <c r="S9" s="208"/>
      <c r="T9" s="208"/>
      <c r="U9" s="208"/>
      <c r="V9" s="208"/>
      <c r="W9" s="208"/>
      <c r="X9" s="208"/>
      <c r="Y9" s="208"/>
      <c r="Z9" s="208"/>
      <c r="AA9" s="208"/>
      <c r="AB9" s="208"/>
      <c r="AC9" s="208"/>
      <c r="AD9" s="208"/>
      <c r="AE9" s="208"/>
      <c r="AF9" s="208"/>
      <c r="AG9" s="208"/>
    </row>
    <row r="10" spans="1:33" ht="23.25" customHeight="1" x14ac:dyDescent="0.5">
      <c r="A10" s="233" t="s">
        <v>86</v>
      </c>
      <c r="B10" s="233"/>
      <c r="C10" s="233"/>
      <c r="D10" s="211"/>
      <c r="E10" s="211"/>
      <c r="F10" s="211"/>
      <c r="G10" s="216" t="s">
        <v>87</v>
      </c>
      <c r="H10" s="216"/>
      <c r="I10" s="67"/>
      <c r="J10" s="211"/>
      <c r="K10" s="211"/>
      <c r="L10" s="211"/>
      <c r="M10" s="216" t="s">
        <v>88</v>
      </c>
      <c r="N10" s="216"/>
      <c r="O10" s="67"/>
      <c r="P10" s="211"/>
      <c r="Q10" s="211"/>
      <c r="R10" s="211"/>
      <c r="S10" s="216" t="s">
        <v>89</v>
      </c>
      <c r="T10" s="216"/>
      <c r="U10" s="67"/>
      <c r="V10" s="211"/>
      <c r="W10" s="211"/>
      <c r="X10" s="211"/>
      <c r="Y10" s="216" t="s">
        <v>90</v>
      </c>
      <c r="Z10" s="216"/>
      <c r="AA10" s="67"/>
      <c r="AB10" s="211"/>
      <c r="AC10" s="211"/>
      <c r="AD10" s="211"/>
      <c r="AE10" s="211"/>
      <c r="AF10" s="211"/>
      <c r="AG10" s="211"/>
    </row>
    <row r="11" spans="1:33" ht="17.649999999999999" x14ac:dyDescent="0.5">
      <c r="A11" s="207" t="s">
        <v>91</v>
      </c>
      <c r="B11" s="207"/>
      <c r="C11" s="207"/>
      <c r="D11" s="208"/>
      <c r="E11" s="208"/>
      <c r="F11" s="208"/>
      <c r="G11" s="218" t="s">
        <v>92</v>
      </c>
      <c r="H11" s="218"/>
      <c r="I11" s="69"/>
      <c r="J11" s="208"/>
      <c r="K11" s="208"/>
      <c r="L11" s="208"/>
      <c r="M11" s="218" t="s">
        <v>93</v>
      </c>
      <c r="N11" s="218"/>
      <c r="O11" s="69"/>
      <c r="P11" s="208"/>
      <c r="Q11" s="208"/>
      <c r="R11" s="208"/>
      <c r="S11" s="218" t="s">
        <v>94</v>
      </c>
      <c r="T11" s="218"/>
      <c r="U11" s="69"/>
      <c r="V11" s="208"/>
      <c r="W11" s="208"/>
      <c r="X11" s="208"/>
      <c r="Y11" s="218" t="s">
        <v>95</v>
      </c>
      <c r="Z11" s="218"/>
      <c r="AA11" s="69"/>
      <c r="AB11" s="208"/>
      <c r="AC11" s="208"/>
      <c r="AD11" s="208"/>
      <c r="AE11" s="208"/>
      <c r="AF11" s="208"/>
      <c r="AG11" s="208"/>
    </row>
    <row r="12" spans="1:33" ht="17.649999999999999" x14ac:dyDescent="0.45">
      <c r="A12" s="211"/>
      <c r="B12" s="211"/>
      <c r="C12" s="211"/>
      <c r="D12" s="211"/>
      <c r="E12" s="211"/>
      <c r="F12" s="211"/>
      <c r="G12" s="211"/>
      <c r="H12" s="211"/>
      <c r="I12" s="211"/>
      <c r="J12" s="211"/>
      <c r="K12" s="211"/>
      <c r="L12" s="211"/>
      <c r="M12" s="211"/>
      <c r="N12" s="211"/>
      <c r="O12" s="211"/>
      <c r="P12" s="211"/>
      <c r="Q12" s="211"/>
      <c r="R12" s="211"/>
      <c r="S12" s="211"/>
      <c r="T12" s="211"/>
      <c r="U12" s="211"/>
      <c r="V12" s="211"/>
      <c r="W12" s="211"/>
      <c r="X12" s="211"/>
      <c r="Y12" s="211"/>
      <c r="Z12" s="211"/>
      <c r="AA12" s="211"/>
      <c r="AB12" s="211"/>
      <c r="AC12" s="211"/>
      <c r="AD12" s="211"/>
      <c r="AE12" s="211"/>
      <c r="AF12" s="211"/>
      <c r="AG12" s="211"/>
    </row>
    <row r="13" spans="1:33" ht="17.649999999999999" x14ac:dyDescent="0.5">
      <c r="A13" s="207" t="s">
        <v>96</v>
      </c>
      <c r="B13" s="207"/>
      <c r="C13" s="207"/>
      <c r="D13" s="208"/>
      <c r="E13" s="208"/>
      <c r="F13" s="208"/>
      <c r="G13" s="218" t="s">
        <v>97</v>
      </c>
      <c r="H13" s="218"/>
      <c r="I13" s="69"/>
      <c r="J13" s="208"/>
      <c r="K13" s="208"/>
      <c r="L13" s="208"/>
      <c r="M13" s="218" t="s">
        <v>98</v>
      </c>
      <c r="N13" s="218"/>
      <c r="O13" s="69"/>
      <c r="P13" s="208"/>
      <c r="Q13" s="208"/>
      <c r="R13" s="208"/>
      <c r="S13" s="218" t="s">
        <v>99</v>
      </c>
      <c r="T13" s="218"/>
      <c r="U13" s="69"/>
      <c r="V13" s="208"/>
      <c r="W13" s="208"/>
      <c r="X13" s="208"/>
      <c r="Y13" s="218">
        <v>-109</v>
      </c>
      <c r="Z13" s="218"/>
      <c r="AA13" s="69"/>
      <c r="AB13" s="208"/>
      <c r="AC13" s="208"/>
      <c r="AD13" s="208"/>
      <c r="AE13" s="218" t="s">
        <v>100</v>
      </c>
      <c r="AF13" s="218"/>
      <c r="AG13" s="69"/>
    </row>
    <row r="14" spans="1:33" ht="17.649999999999999" x14ac:dyDescent="0.45">
      <c r="A14" s="211"/>
      <c r="B14" s="211"/>
      <c r="C14" s="211"/>
      <c r="D14" s="211"/>
      <c r="E14" s="211"/>
      <c r="F14" s="211"/>
      <c r="G14" s="211"/>
      <c r="H14" s="211"/>
      <c r="I14" s="211"/>
      <c r="J14" s="211"/>
      <c r="K14" s="211"/>
      <c r="L14" s="211"/>
      <c r="M14" s="211"/>
      <c r="N14" s="211"/>
      <c r="O14" s="211"/>
      <c r="P14" s="211"/>
      <c r="Q14" s="211"/>
      <c r="R14" s="211"/>
      <c r="S14" s="211"/>
      <c r="T14" s="211"/>
      <c r="U14" s="211"/>
      <c r="V14" s="211"/>
      <c r="W14" s="211"/>
      <c r="X14" s="211"/>
      <c r="Y14" s="211"/>
      <c r="Z14" s="211"/>
      <c r="AA14" s="211"/>
      <c r="AB14" s="211"/>
      <c r="AC14" s="211"/>
      <c r="AD14" s="211"/>
      <c r="AE14" s="211"/>
      <c r="AF14" s="211"/>
      <c r="AG14" s="211"/>
    </row>
    <row r="15" spans="1:33" ht="23.25" customHeight="1" x14ac:dyDescent="0.45">
      <c r="A15" s="232" t="s">
        <v>101</v>
      </c>
      <c r="B15" s="232"/>
      <c r="C15" s="232"/>
      <c r="D15" s="208"/>
      <c r="E15" s="208"/>
      <c r="F15" s="208"/>
      <c r="G15" s="208"/>
      <c r="H15" s="208"/>
      <c r="I15" s="208"/>
      <c r="J15" s="208"/>
      <c r="K15" s="208"/>
      <c r="L15" s="208"/>
      <c r="M15" s="208"/>
      <c r="N15" s="208"/>
      <c r="O15" s="208"/>
      <c r="P15" s="208"/>
      <c r="Q15" s="208"/>
      <c r="R15" s="208"/>
      <c r="S15" s="208"/>
      <c r="T15" s="208"/>
      <c r="U15" s="208"/>
      <c r="V15" s="208"/>
      <c r="W15" s="208"/>
      <c r="X15" s="208"/>
      <c r="Y15" s="208"/>
      <c r="Z15" s="208"/>
      <c r="AA15" s="208"/>
      <c r="AB15" s="208"/>
      <c r="AC15" s="208"/>
      <c r="AD15" s="208"/>
      <c r="AE15" s="208"/>
      <c r="AF15" s="208"/>
      <c r="AG15" s="208"/>
    </row>
    <row r="16" spans="1:33" ht="23.25" customHeight="1" x14ac:dyDescent="0.5">
      <c r="A16" s="231" t="s">
        <v>102</v>
      </c>
      <c r="B16" s="231"/>
      <c r="C16" s="231"/>
      <c r="D16" s="211"/>
      <c r="E16" s="211"/>
      <c r="F16" s="211"/>
      <c r="G16" s="211"/>
      <c r="H16" s="211"/>
      <c r="I16" s="211"/>
      <c r="J16" s="211"/>
      <c r="K16" s="211"/>
      <c r="L16" s="211"/>
      <c r="M16" s="211"/>
      <c r="N16" s="211"/>
      <c r="O16" s="211"/>
      <c r="P16" s="211"/>
      <c r="Q16" s="211"/>
      <c r="R16" s="211"/>
      <c r="S16" s="211"/>
      <c r="T16" s="211"/>
      <c r="U16" s="211"/>
      <c r="V16" s="211"/>
      <c r="W16" s="211"/>
      <c r="X16" s="211"/>
      <c r="Y16" s="211"/>
      <c r="Z16" s="211"/>
      <c r="AA16" s="211"/>
      <c r="AB16" s="211"/>
      <c r="AC16" s="211"/>
      <c r="AD16" s="211"/>
      <c r="AE16" s="243">
        <v>-1078</v>
      </c>
      <c r="AF16" s="243"/>
      <c r="AG16" s="67"/>
    </row>
    <row r="17" spans="1:33" ht="17.649999999999999" x14ac:dyDescent="0.5">
      <c r="A17" s="229" t="s">
        <v>103</v>
      </c>
      <c r="B17" s="229"/>
      <c r="C17" s="229"/>
      <c r="D17" s="208"/>
      <c r="E17" s="208"/>
      <c r="F17" s="208"/>
      <c r="G17" s="208"/>
      <c r="H17" s="208"/>
      <c r="I17" s="208"/>
      <c r="J17" s="208"/>
      <c r="K17" s="208"/>
      <c r="L17" s="208"/>
      <c r="M17" s="208"/>
      <c r="N17" s="208"/>
      <c r="O17" s="208"/>
      <c r="P17" s="208"/>
      <c r="Q17" s="208"/>
      <c r="R17" s="208"/>
      <c r="S17" s="208"/>
      <c r="T17" s="208"/>
      <c r="U17" s="208"/>
      <c r="V17" s="208"/>
      <c r="W17" s="208"/>
      <c r="X17" s="208"/>
      <c r="Y17" s="208"/>
      <c r="Z17" s="208"/>
      <c r="AA17" s="208"/>
      <c r="AB17" s="208"/>
      <c r="AC17" s="208"/>
      <c r="AD17" s="208"/>
      <c r="AE17" s="230">
        <v>-343854</v>
      </c>
      <c r="AF17" s="230"/>
      <c r="AG17" s="69"/>
    </row>
    <row r="18" spans="1:33" ht="18" thickBot="1" x14ac:dyDescent="0.55000000000000004">
      <c r="A18" s="231" t="s">
        <v>104</v>
      </c>
      <c r="B18" s="231"/>
      <c r="C18" s="231"/>
      <c r="D18" s="211"/>
      <c r="E18" s="211"/>
      <c r="F18" s="211"/>
      <c r="G18" s="211"/>
      <c r="H18" s="211"/>
      <c r="I18" s="211"/>
      <c r="J18" s="211"/>
      <c r="K18" s="211"/>
      <c r="L18" s="211"/>
      <c r="M18" s="211"/>
      <c r="N18" s="211"/>
      <c r="O18" s="211"/>
      <c r="P18" s="211"/>
      <c r="Q18" s="211"/>
      <c r="R18" s="211"/>
      <c r="S18" s="211"/>
      <c r="T18" s="211"/>
      <c r="U18" s="211"/>
      <c r="V18" s="211"/>
      <c r="W18" s="211"/>
      <c r="X18" s="211"/>
      <c r="Y18" s="211"/>
      <c r="Z18" s="211"/>
      <c r="AA18" s="211"/>
      <c r="AB18" s="211"/>
      <c r="AC18" s="211"/>
      <c r="AD18" s="211"/>
      <c r="AE18" s="234" t="s">
        <v>105</v>
      </c>
      <c r="AF18" s="234"/>
      <c r="AG18" s="67"/>
    </row>
    <row r="19" spans="1:33" ht="23.25" customHeight="1" thickBot="1" x14ac:dyDescent="0.55000000000000004">
      <c r="A19" s="207" t="s">
        <v>106</v>
      </c>
      <c r="B19" s="207"/>
      <c r="C19" s="207"/>
      <c r="D19" s="208"/>
      <c r="E19" s="208"/>
      <c r="F19" s="208"/>
      <c r="G19" s="208"/>
      <c r="H19" s="208"/>
      <c r="I19" s="208"/>
      <c r="J19" s="208"/>
      <c r="K19" s="208"/>
      <c r="L19" s="208"/>
      <c r="M19" s="208"/>
      <c r="N19" s="208"/>
      <c r="O19" s="208"/>
      <c r="P19" s="208"/>
      <c r="Q19" s="208"/>
      <c r="R19" s="208"/>
      <c r="S19" s="208"/>
      <c r="T19" s="208"/>
      <c r="U19" s="208"/>
      <c r="V19" s="208"/>
      <c r="W19" s="208"/>
      <c r="X19" s="208"/>
      <c r="Y19" s="208"/>
      <c r="Z19" s="208"/>
      <c r="AA19" s="208"/>
      <c r="AB19" s="208"/>
      <c r="AC19" s="208"/>
      <c r="AD19" s="208"/>
      <c r="AE19" s="70" t="s">
        <v>64</v>
      </c>
      <c r="AF19" s="71" t="s">
        <v>107</v>
      </c>
      <c r="AG19" s="72"/>
    </row>
    <row r="20" spans="1:33" ht="14.65" thickTop="1" x14ac:dyDescent="0.45"/>
    <row r="22" spans="1:33" ht="17.649999999999999" x14ac:dyDescent="0.45">
      <c r="A22" s="63"/>
      <c r="B22" s="63"/>
      <c r="C22" s="63"/>
      <c r="D22" s="63"/>
      <c r="E22" s="63"/>
      <c r="F22" s="63"/>
      <c r="G22" s="63"/>
      <c r="H22" s="63"/>
      <c r="I22" s="63"/>
      <c r="J22" s="63"/>
      <c r="K22" s="63"/>
      <c r="L22" s="63"/>
      <c r="M22" s="63"/>
      <c r="N22" s="63"/>
      <c r="O22" s="63"/>
      <c r="P22" s="63"/>
      <c r="Q22" s="63"/>
      <c r="R22" s="63"/>
      <c r="S22" s="63"/>
      <c r="T22" s="63"/>
      <c r="U22" s="63"/>
      <c r="V22" s="63"/>
      <c r="W22" s="63"/>
      <c r="X22" s="63"/>
      <c r="Y22" s="63"/>
      <c r="Z22" s="63"/>
      <c r="AA22" s="63"/>
    </row>
    <row r="23" spans="1:33" ht="19.149999999999999" thickBot="1" x14ac:dyDescent="0.5">
      <c r="A23" s="225"/>
      <c r="B23" s="225"/>
      <c r="C23" s="225"/>
      <c r="D23" s="225"/>
      <c r="E23" s="225"/>
      <c r="F23" s="225"/>
      <c r="G23" s="242" t="s">
        <v>108</v>
      </c>
      <c r="H23" s="242"/>
      <c r="I23" s="242"/>
      <c r="J23" s="242"/>
      <c r="K23" s="242"/>
      <c r="L23" s="242"/>
      <c r="M23" s="242"/>
      <c r="N23" s="242"/>
      <c r="O23" s="242"/>
      <c r="P23" s="242"/>
      <c r="Q23" s="242"/>
      <c r="R23" s="242"/>
      <c r="S23" s="242"/>
      <c r="T23" s="242"/>
      <c r="U23" s="242"/>
      <c r="V23" s="242"/>
      <c r="W23" s="242"/>
      <c r="X23" s="242"/>
      <c r="Y23" s="242"/>
      <c r="Z23" s="242"/>
      <c r="AA23" s="242"/>
    </row>
    <row r="24" spans="1:33" ht="19.149999999999999" thickBot="1" x14ac:dyDescent="0.5">
      <c r="A24" s="226" t="s">
        <v>58</v>
      </c>
      <c r="B24" s="226"/>
      <c r="C24" s="226"/>
      <c r="D24" s="240"/>
      <c r="E24" s="240"/>
      <c r="F24" s="240"/>
      <c r="G24" s="227" t="s">
        <v>59</v>
      </c>
      <c r="H24" s="227"/>
      <c r="I24" s="227"/>
      <c r="J24" s="224"/>
      <c r="K24" s="224"/>
      <c r="L24" s="224"/>
      <c r="M24" s="237" t="s">
        <v>60</v>
      </c>
      <c r="N24" s="237"/>
      <c r="O24" s="237"/>
      <c r="P24" s="224"/>
      <c r="Q24" s="224"/>
      <c r="R24" s="224"/>
      <c r="S24" s="227" t="s">
        <v>61</v>
      </c>
      <c r="T24" s="227"/>
      <c r="U24" s="227"/>
      <c r="V24" s="224"/>
      <c r="W24" s="224"/>
      <c r="X24" s="224"/>
      <c r="Y24" s="237" t="s">
        <v>30</v>
      </c>
      <c r="Z24" s="237"/>
      <c r="AA24" s="237"/>
    </row>
    <row r="25" spans="1:33" ht="17.649999999999999" x14ac:dyDescent="0.5">
      <c r="A25" s="241" t="s">
        <v>63</v>
      </c>
      <c r="B25" s="241"/>
      <c r="C25" s="241"/>
      <c r="D25" s="239"/>
      <c r="E25" s="239"/>
      <c r="F25" s="239"/>
      <c r="G25" s="64" t="s">
        <v>64</v>
      </c>
      <c r="H25" s="65" t="s">
        <v>109</v>
      </c>
      <c r="I25" s="66"/>
      <c r="J25" s="208"/>
      <c r="K25" s="208"/>
      <c r="L25" s="208"/>
      <c r="M25" s="64" t="s">
        <v>64</v>
      </c>
      <c r="N25" s="65" t="s">
        <v>110</v>
      </c>
      <c r="O25" s="66"/>
      <c r="P25" s="208"/>
      <c r="Q25" s="208"/>
      <c r="R25" s="208"/>
      <c r="S25" s="64" t="s">
        <v>64</v>
      </c>
      <c r="T25" s="65" t="s">
        <v>111</v>
      </c>
      <c r="U25" s="66"/>
      <c r="V25" s="208"/>
      <c r="W25" s="208"/>
      <c r="X25" s="208"/>
      <c r="Y25" s="64" t="s">
        <v>64</v>
      </c>
      <c r="Z25" s="65" t="s">
        <v>112</v>
      </c>
      <c r="AA25" s="66"/>
    </row>
    <row r="26" spans="1:33" ht="18" thickBot="1" x14ac:dyDescent="0.55000000000000004">
      <c r="A26" s="233" t="s">
        <v>70</v>
      </c>
      <c r="B26" s="233"/>
      <c r="C26" s="233"/>
      <c r="D26" s="211"/>
      <c r="E26" s="211"/>
      <c r="F26" s="211"/>
      <c r="G26" s="234" t="s">
        <v>113</v>
      </c>
      <c r="H26" s="234"/>
      <c r="I26" s="67"/>
      <c r="J26" s="211"/>
      <c r="K26" s="211"/>
      <c r="L26" s="211"/>
      <c r="M26" s="234" t="s">
        <v>114</v>
      </c>
      <c r="N26" s="234"/>
      <c r="O26" s="67"/>
      <c r="P26" s="211"/>
      <c r="Q26" s="211"/>
      <c r="R26" s="211"/>
      <c r="S26" s="234" t="s">
        <v>115</v>
      </c>
      <c r="T26" s="234"/>
      <c r="U26" s="67"/>
      <c r="V26" s="211"/>
      <c r="W26" s="211"/>
      <c r="X26" s="211"/>
      <c r="Y26" s="234" t="s">
        <v>116</v>
      </c>
      <c r="Z26" s="234"/>
      <c r="AA26" s="67"/>
    </row>
    <row r="27" spans="1:33" ht="17.649999999999999" x14ac:dyDescent="0.5">
      <c r="A27" s="229" t="s">
        <v>76</v>
      </c>
      <c r="B27" s="229"/>
      <c r="C27" s="229"/>
      <c r="D27" s="208"/>
      <c r="E27" s="208"/>
      <c r="F27" s="208"/>
      <c r="G27" s="213" t="s">
        <v>117</v>
      </c>
      <c r="H27" s="213"/>
      <c r="I27" s="66"/>
      <c r="J27" s="208"/>
      <c r="K27" s="208"/>
      <c r="L27" s="208"/>
      <c r="M27" s="213" t="s">
        <v>118</v>
      </c>
      <c r="N27" s="213"/>
      <c r="O27" s="66"/>
      <c r="P27" s="208"/>
      <c r="Q27" s="208"/>
      <c r="R27" s="208"/>
      <c r="S27" s="213" t="s">
        <v>119</v>
      </c>
      <c r="T27" s="213"/>
      <c r="U27" s="66"/>
      <c r="V27" s="208"/>
      <c r="W27" s="208"/>
      <c r="X27" s="208"/>
      <c r="Y27" s="213" t="s">
        <v>120</v>
      </c>
      <c r="Z27" s="213"/>
      <c r="AA27" s="66"/>
    </row>
    <row r="28" spans="1:33" ht="17.649999999999999" x14ac:dyDescent="0.5">
      <c r="A28" s="233" t="s">
        <v>81</v>
      </c>
      <c r="B28" s="233"/>
      <c r="C28" s="233"/>
      <c r="D28" s="211"/>
      <c r="E28" s="211"/>
      <c r="F28" s="211"/>
      <c r="G28" s="216" t="s">
        <v>121</v>
      </c>
      <c r="H28" s="216"/>
      <c r="I28" s="67"/>
      <c r="J28" s="211"/>
      <c r="K28" s="211"/>
      <c r="L28" s="211"/>
      <c r="M28" s="216" t="s">
        <v>122</v>
      </c>
      <c r="N28" s="216"/>
      <c r="O28" s="67"/>
      <c r="P28" s="211"/>
      <c r="Q28" s="211"/>
      <c r="R28" s="211"/>
      <c r="S28" s="216" t="s">
        <v>123</v>
      </c>
      <c r="T28" s="216"/>
      <c r="U28" s="67"/>
      <c r="V28" s="211"/>
      <c r="W28" s="211"/>
      <c r="X28" s="211"/>
      <c r="Y28" s="211"/>
      <c r="Z28" s="211"/>
      <c r="AA28" s="211"/>
    </row>
    <row r="30" spans="1:33" ht="17.649999999999999" x14ac:dyDescent="0.45">
      <c r="A30" s="208"/>
      <c r="B30" s="208"/>
      <c r="C30" s="208"/>
      <c r="D30" s="208"/>
      <c r="E30" s="208"/>
      <c r="F30" s="208"/>
      <c r="G30" s="208"/>
      <c r="H30" s="208"/>
      <c r="I30" s="208"/>
      <c r="J30" s="208"/>
      <c r="K30" s="208"/>
      <c r="L30" s="208"/>
      <c r="M30" s="208"/>
      <c r="N30" s="208"/>
      <c r="O30" s="208"/>
      <c r="P30" s="208"/>
      <c r="Q30" s="208"/>
      <c r="R30" s="208"/>
      <c r="S30" s="208"/>
      <c r="T30" s="208"/>
      <c r="U30" s="208"/>
      <c r="V30" s="208"/>
      <c r="W30" s="208"/>
      <c r="X30" s="208"/>
      <c r="Y30" s="208"/>
      <c r="Z30" s="208"/>
      <c r="AA30" s="208"/>
    </row>
    <row r="31" spans="1:33" ht="23.25" customHeight="1" x14ac:dyDescent="0.5">
      <c r="A31" s="233" t="s">
        <v>86</v>
      </c>
      <c r="B31" s="233"/>
      <c r="C31" s="233"/>
      <c r="D31" s="211"/>
      <c r="E31" s="211"/>
      <c r="F31" s="211"/>
      <c r="G31" s="216" t="s">
        <v>124</v>
      </c>
      <c r="H31" s="216"/>
      <c r="I31" s="67"/>
      <c r="J31" s="211"/>
      <c r="K31" s="211"/>
      <c r="L31" s="211"/>
      <c r="M31" s="216" t="s">
        <v>125</v>
      </c>
      <c r="N31" s="216"/>
      <c r="O31" s="67"/>
      <c r="P31" s="211"/>
      <c r="Q31" s="211"/>
      <c r="R31" s="211"/>
      <c r="S31" s="216" t="s">
        <v>126</v>
      </c>
      <c r="T31" s="216"/>
      <c r="U31" s="67"/>
      <c r="V31" s="211"/>
      <c r="W31" s="211"/>
      <c r="X31" s="211"/>
      <c r="Y31" s="211"/>
      <c r="Z31" s="211"/>
      <c r="AA31" s="211"/>
    </row>
    <row r="32" spans="1:33" ht="17.649999999999999" x14ac:dyDescent="0.5">
      <c r="A32" s="207" t="s">
        <v>91</v>
      </c>
      <c r="B32" s="207"/>
      <c r="C32" s="207"/>
      <c r="D32" s="208"/>
      <c r="E32" s="208"/>
      <c r="F32" s="208"/>
      <c r="G32" s="218" t="s">
        <v>127</v>
      </c>
      <c r="H32" s="218"/>
      <c r="I32" s="69"/>
      <c r="J32" s="208"/>
      <c r="K32" s="208"/>
      <c r="L32" s="208"/>
      <c r="M32" s="218" t="s">
        <v>128</v>
      </c>
      <c r="N32" s="218"/>
      <c r="O32" s="69"/>
      <c r="P32" s="208"/>
      <c r="Q32" s="208"/>
      <c r="R32" s="208"/>
      <c r="S32" s="218" t="s">
        <v>129</v>
      </c>
      <c r="T32" s="218"/>
      <c r="U32" s="69"/>
      <c r="V32" s="208"/>
      <c r="W32" s="208"/>
      <c r="X32" s="208"/>
      <c r="Y32" s="208"/>
      <c r="Z32" s="208"/>
      <c r="AA32" s="208"/>
    </row>
    <row r="33" spans="1:27" ht="17.649999999999999" x14ac:dyDescent="0.45">
      <c r="A33" s="211"/>
      <c r="B33" s="211"/>
      <c r="C33" s="211"/>
      <c r="D33" s="211"/>
      <c r="E33" s="211"/>
      <c r="F33" s="211"/>
      <c r="G33" s="211"/>
      <c r="H33" s="211"/>
      <c r="I33" s="211"/>
      <c r="J33" s="211"/>
      <c r="K33" s="211"/>
      <c r="L33" s="211"/>
      <c r="M33" s="211"/>
      <c r="N33" s="211"/>
      <c r="O33" s="211"/>
      <c r="P33" s="211"/>
      <c r="Q33" s="211"/>
      <c r="R33" s="211"/>
      <c r="S33" s="211"/>
      <c r="T33" s="211"/>
      <c r="U33" s="211"/>
      <c r="V33" s="211"/>
      <c r="W33" s="211"/>
      <c r="X33" s="211"/>
      <c r="Y33" s="211"/>
      <c r="Z33" s="211"/>
      <c r="AA33" s="211"/>
    </row>
    <row r="34" spans="1:27" ht="17.649999999999999" x14ac:dyDescent="0.5">
      <c r="A34" s="207" t="s">
        <v>96</v>
      </c>
      <c r="B34" s="207"/>
      <c r="C34" s="207"/>
      <c r="D34" s="208"/>
      <c r="E34" s="208"/>
      <c r="F34" s="208"/>
      <c r="G34" s="218" t="s">
        <v>130</v>
      </c>
      <c r="H34" s="218"/>
      <c r="I34" s="69"/>
      <c r="J34" s="208"/>
      <c r="K34" s="208"/>
      <c r="L34" s="208"/>
      <c r="M34" s="218" t="s">
        <v>131</v>
      </c>
      <c r="N34" s="218"/>
      <c r="O34" s="69"/>
      <c r="P34" s="208"/>
      <c r="Q34" s="208"/>
      <c r="R34" s="208"/>
      <c r="S34" s="218" t="s">
        <v>132</v>
      </c>
      <c r="T34" s="218"/>
      <c r="U34" s="69"/>
      <c r="V34" s="208"/>
      <c r="W34" s="208"/>
      <c r="X34" s="208"/>
      <c r="Y34" s="218" t="s">
        <v>133</v>
      </c>
      <c r="Z34" s="218"/>
      <c r="AA34" s="69"/>
    </row>
    <row r="35" spans="1:27" ht="17.649999999999999" x14ac:dyDescent="0.45">
      <c r="A35" s="211"/>
      <c r="B35" s="211"/>
      <c r="C35" s="211"/>
      <c r="D35" s="211"/>
      <c r="E35" s="211"/>
      <c r="F35" s="211"/>
      <c r="G35" s="211"/>
      <c r="H35" s="211"/>
      <c r="I35" s="211"/>
      <c r="J35" s="211"/>
      <c r="K35" s="211"/>
      <c r="L35" s="211"/>
      <c r="M35" s="211"/>
      <c r="N35" s="211"/>
      <c r="O35" s="211"/>
      <c r="P35" s="211"/>
      <c r="Q35" s="211"/>
      <c r="R35" s="211"/>
      <c r="S35" s="211"/>
      <c r="T35" s="211"/>
      <c r="U35" s="211"/>
      <c r="V35" s="211"/>
      <c r="W35" s="211"/>
      <c r="X35" s="211"/>
      <c r="Y35" s="211"/>
      <c r="Z35" s="211"/>
      <c r="AA35" s="211"/>
    </row>
    <row r="36" spans="1:27" ht="23.25" customHeight="1" x14ac:dyDescent="0.45">
      <c r="A36" s="232" t="s">
        <v>101</v>
      </c>
      <c r="B36" s="232"/>
      <c r="C36" s="232"/>
      <c r="D36" s="208"/>
      <c r="E36" s="208"/>
      <c r="F36" s="208"/>
      <c r="G36" s="208"/>
      <c r="H36" s="208"/>
      <c r="I36" s="208"/>
      <c r="J36" s="208"/>
      <c r="K36" s="208"/>
      <c r="L36" s="208"/>
      <c r="M36" s="208"/>
      <c r="N36" s="208"/>
      <c r="O36" s="208"/>
      <c r="P36" s="208"/>
      <c r="Q36" s="208"/>
      <c r="R36" s="208"/>
      <c r="S36" s="208"/>
      <c r="T36" s="208"/>
      <c r="U36" s="208"/>
      <c r="V36" s="208"/>
      <c r="W36" s="208"/>
      <c r="X36" s="208"/>
      <c r="Y36" s="208"/>
      <c r="Z36" s="208"/>
      <c r="AA36" s="208"/>
    </row>
    <row r="37" spans="1:27" ht="23.25" customHeight="1" x14ac:dyDescent="0.5">
      <c r="A37" s="231" t="s">
        <v>102</v>
      </c>
      <c r="B37" s="231"/>
      <c r="C37" s="231"/>
      <c r="D37" s="211"/>
      <c r="E37" s="211"/>
      <c r="F37" s="211"/>
      <c r="G37" s="211"/>
      <c r="H37" s="211"/>
      <c r="I37" s="211"/>
      <c r="J37" s="211"/>
      <c r="K37" s="211"/>
      <c r="L37" s="211"/>
      <c r="M37" s="211"/>
      <c r="N37" s="211"/>
      <c r="O37" s="211"/>
      <c r="P37" s="211"/>
      <c r="Q37" s="211"/>
      <c r="R37" s="211"/>
      <c r="S37" s="211"/>
      <c r="T37" s="211"/>
      <c r="U37" s="211"/>
      <c r="V37" s="211"/>
      <c r="W37" s="211"/>
      <c r="X37" s="211"/>
      <c r="Y37" s="216" t="s">
        <v>68</v>
      </c>
      <c r="Z37" s="216"/>
      <c r="AA37" s="67"/>
    </row>
    <row r="38" spans="1:27" ht="17.649999999999999" x14ac:dyDescent="0.5">
      <c r="A38" s="229" t="s">
        <v>103</v>
      </c>
      <c r="B38" s="229"/>
      <c r="C38" s="229"/>
      <c r="D38" s="208"/>
      <c r="E38" s="208"/>
      <c r="F38" s="208"/>
      <c r="G38" s="208"/>
      <c r="H38" s="208"/>
      <c r="I38" s="208"/>
      <c r="J38" s="208"/>
      <c r="K38" s="208"/>
      <c r="L38" s="208"/>
      <c r="M38" s="208"/>
      <c r="N38" s="208"/>
      <c r="O38" s="208"/>
      <c r="P38" s="208"/>
      <c r="Q38" s="208"/>
      <c r="R38" s="208"/>
      <c r="S38" s="208"/>
      <c r="T38" s="208"/>
      <c r="U38" s="208"/>
      <c r="V38" s="208"/>
      <c r="W38" s="208"/>
      <c r="X38" s="208"/>
      <c r="Y38" s="230">
        <v>-337804</v>
      </c>
      <c r="Z38" s="230"/>
      <c r="AA38" s="69"/>
    </row>
    <row r="39" spans="1:27" ht="18" thickBot="1" x14ac:dyDescent="0.55000000000000004">
      <c r="A39" s="231" t="s">
        <v>104</v>
      </c>
      <c r="B39" s="231"/>
      <c r="C39" s="231"/>
      <c r="D39" s="211"/>
      <c r="E39" s="211"/>
      <c r="F39" s="211"/>
      <c r="G39" s="211"/>
      <c r="H39" s="211"/>
      <c r="I39" s="211"/>
      <c r="J39" s="211"/>
      <c r="K39" s="211"/>
      <c r="L39" s="211"/>
      <c r="M39" s="211"/>
      <c r="N39" s="211"/>
      <c r="O39" s="211"/>
      <c r="P39" s="211"/>
      <c r="Q39" s="211"/>
      <c r="R39" s="211"/>
      <c r="S39" s="211"/>
      <c r="T39" s="211"/>
      <c r="U39" s="211"/>
      <c r="V39" s="211"/>
      <c r="W39" s="211"/>
      <c r="X39" s="211"/>
      <c r="Y39" s="234" t="s">
        <v>134</v>
      </c>
      <c r="Z39" s="234"/>
      <c r="AA39" s="67"/>
    </row>
    <row r="40" spans="1:27" ht="23.25" customHeight="1" thickBot="1" x14ac:dyDescent="0.55000000000000004">
      <c r="A40" s="207" t="s">
        <v>106</v>
      </c>
      <c r="B40" s="207"/>
      <c r="C40" s="207"/>
      <c r="D40" s="208"/>
      <c r="E40" s="208"/>
      <c r="F40" s="208"/>
      <c r="G40" s="208"/>
      <c r="H40" s="208"/>
      <c r="I40" s="208"/>
      <c r="J40" s="208"/>
      <c r="K40" s="208"/>
      <c r="L40" s="208"/>
      <c r="M40" s="208"/>
      <c r="N40" s="208"/>
      <c r="O40" s="208"/>
      <c r="P40" s="208"/>
      <c r="Q40" s="208"/>
      <c r="R40" s="208"/>
      <c r="S40" s="208"/>
      <c r="T40" s="208"/>
      <c r="U40" s="208"/>
      <c r="V40" s="208"/>
      <c r="W40" s="208"/>
      <c r="X40" s="208"/>
      <c r="Y40" s="70" t="s">
        <v>64</v>
      </c>
      <c r="Z40" s="71" t="s">
        <v>135</v>
      </c>
      <c r="AA40" s="72"/>
    </row>
    <row r="41" spans="1:27" ht="15" thickTop="1" thickBot="1" x14ac:dyDescent="0.5"/>
    <row r="42" spans="1:27" ht="19.149999999999999" thickBot="1" x14ac:dyDescent="0.5">
      <c r="A42" s="226" t="s">
        <v>136</v>
      </c>
      <c r="B42" s="226"/>
      <c r="C42" s="226"/>
      <c r="D42" s="240"/>
      <c r="E42" s="240"/>
      <c r="F42" s="240"/>
      <c r="G42" s="227" t="s">
        <v>59</v>
      </c>
      <c r="H42" s="227"/>
      <c r="I42" s="227"/>
      <c r="J42" s="224"/>
      <c r="K42" s="224"/>
      <c r="L42" s="224"/>
      <c r="M42" s="237" t="s">
        <v>60</v>
      </c>
      <c r="N42" s="237"/>
      <c r="O42" s="237"/>
      <c r="P42" s="224"/>
      <c r="Q42" s="224"/>
      <c r="R42" s="224"/>
      <c r="S42" s="227" t="s">
        <v>61</v>
      </c>
      <c r="T42" s="227"/>
      <c r="U42" s="227"/>
      <c r="V42" s="224"/>
      <c r="W42" s="224"/>
      <c r="X42" s="224"/>
      <c r="Y42" s="237" t="s">
        <v>30</v>
      </c>
      <c r="Z42" s="237"/>
      <c r="AA42" s="237"/>
    </row>
    <row r="43" spans="1:27" ht="17.649999999999999" x14ac:dyDescent="0.5">
      <c r="A43" s="238" t="s">
        <v>63</v>
      </c>
      <c r="B43" s="238"/>
      <c r="C43" s="238"/>
      <c r="D43" s="239"/>
      <c r="E43" s="239"/>
      <c r="F43" s="239"/>
      <c r="G43" s="64" t="s">
        <v>64</v>
      </c>
      <c r="H43" s="65" t="s">
        <v>137</v>
      </c>
      <c r="I43" s="66"/>
      <c r="J43" s="208"/>
      <c r="K43" s="208"/>
      <c r="L43" s="208"/>
      <c r="M43" s="64" t="s">
        <v>64</v>
      </c>
      <c r="N43" s="65" t="s">
        <v>138</v>
      </c>
      <c r="O43" s="66"/>
      <c r="P43" s="208"/>
      <c r="Q43" s="208"/>
      <c r="R43" s="208"/>
      <c r="S43" s="64" t="s">
        <v>64</v>
      </c>
      <c r="T43" s="65" t="s">
        <v>139</v>
      </c>
      <c r="U43" s="66"/>
      <c r="V43" s="208"/>
      <c r="W43" s="208"/>
      <c r="X43" s="208"/>
      <c r="Y43" s="64" t="s">
        <v>64</v>
      </c>
      <c r="Z43" s="65" t="s">
        <v>140</v>
      </c>
      <c r="AA43" s="66"/>
    </row>
    <row r="44" spans="1:27" ht="18" thickBot="1" x14ac:dyDescent="0.55000000000000004">
      <c r="A44" s="236" t="s">
        <v>70</v>
      </c>
      <c r="B44" s="236"/>
      <c r="C44" s="236"/>
      <c r="D44" s="211"/>
      <c r="E44" s="211"/>
      <c r="F44" s="211"/>
      <c r="G44" s="234" t="s">
        <v>141</v>
      </c>
      <c r="H44" s="234"/>
      <c r="I44" s="67"/>
      <c r="J44" s="211"/>
      <c r="K44" s="211"/>
      <c r="L44" s="211"/>
      <c r="M44" s="234" t="s">
        <v>142</v>
      </c>
      <c r="N44" s="234"/>
      <c r="O44" s="67"/>
      <c r="P44" s="211"/>
      <c r="Q44" s="211"/>
      <c r="R44" s="211"/>
      <c r="S44" s="234" t="s">
        <v>143</v>
      </c>
      <c r="T44" s="234"/>
      <c r="U44" s="67"/>
      <c r="V44" s="211"/>
      <c r="W44" s="211"/>
      <c r="X44" s="211"/>
      <c r="Y44" s="234" t="s">
        <v>144</v>
      </c>
      <c r="Z44" s="234"/>
      <c r="AA44" s="67"/>
    </row>
    <row r="45" spans="1:27" ht="17.649999999999999" x14ac:dyDescent="0.5">
      <c r="A45" s="235" t="s">
        <v>76</v>
      </c>
      <c r="B45" s="235"/>
      <c r="C45" s="235"/>
      <c r="D45" s="208"/>
      <c r="E45" s="208"/>
      <c r="F45" s="208"/>
      <c r="G45" s="213" t="s">
        <v>145</v>
      </c>
      <c r="H45" s="213"/>
      <c r="I45" s="66"/>
      <c r="J45" s="208"/>
      <c r="K45" s="208"/>
      <c r="L45" s="208"/>
      <c r="M45" s="213" t="s">
        <v>146</v>
      </c>
      <c r="N45" s="213"/>
      <c r="O45" s="66"/>
      <c r="P45" s="208"/>
      <c r="Q45" s="208"/>
      <c r="R45" s="208"/>
      <c r="S45" s="213" t="s">
        <v>147</v>
      </c>
      <c r="T45" s="213"/>
      <c r="U45" s="66"/>
      <c r="V45" s="208"/>
      <c r="W45" s="208"/>
      <c r="X45" s="208"/>
      <c r="Y45" s="213" t="s">
        <v>148</v>
      </c>
      <c r="Z45" s="213"/>
      <c r="AA45" s="66"/>
    </row>
    <row r="46" spans="1:27" ht="17.649999999999999" x14ac:dyDescent="0.5">
      <c r="A46" s="233" t="s">
        <v>81</v>
      </c>
      <c r="B46" s="233"/>
      <c r="C46" s="233"/>
      <c r="D46" s="211"/>
      <c r="E46" s="211"/>
      <c r="F46" s="211"/>
      <c r="G46" s="216" t="s">
        <v>149</v>
      </c>
      <c r="H46" s="216"/>
      <c r="I46" s="67"/>
      <c r="J46" s="211"/>
      <c r="K46" s="211"/>
      <c r="L46" s="211"/>
      <c r="M46" s="216" t="s">
        <v>150</v>
      </c>
      <c r="N46" s="216"/>
      <c r="O46" s="67"/>
      <c r="P46" s="211"/>
      <c r="Q46" s="211"/>
      <c r="R46" s="211"/>
      <c r="S46" s="216" t="s">
        <v>151</v>
      </c>
      <c r="T46" s="216"/>
      <c r="U46" s="67"/>
      <c r="V46" s="211"/>
      <c r="W46" s="211"/>
      <c r="X46" s="211"/>
      <c r="Y46" s="211"/>
      <c r="Z46" s="211"/>
      <c r="AA46" s="211"/>
    </row>
    <row r="48" spans="1:27" ht="17.649999999999999" x14ac:dyDescent="0.45">
      <c r="A48" s="208"/>
      <c r="B48" s="208"/>
      <c r="C48" s="208"/>
      <c r="D48" s="208"/>
      <c r="E48" s="208"/>
      <c r="F48" s="208"/>
      <c r="G48" s="208"/>
      <c r="H48" s="208"/>
      <c r="I48" s="208"/>
      <c r="J48" s="208"/>
      <c r="K48" s="208"/>
      <c r="L48" s="208"/>
      <c r="M48" s="208"/>
      <c r="N48" s="208"/>
      <c r="O48" s="208"/>
      <c r="P48" s="208"/>
      <c r="Q48" s="208"/>
      <c r="R48" s="208"/>
      <c r="S48" s="208"/>
      <c r="T48" s="208"/>
      <c r="U48" s="208"/>
      <c r="V48" s="208"/>
      <c r="W48" s="208"/>
      <c r="X48" s="208"/>
      <c r="Y48" s="208"/>
      <c r="Z48" s="208"/>
      <c r="AA48" s="208"/>
    </row>
    <row r="49" spans="1:27" ht="23.25" customHeight="1" x14ac:dyDescent="0.5">
      <c r="A49" s="233" t="s">
        <v>86</v>
      </c>
      <c r="B49" s="233"/>
      <c r="C49" s="233"/>
      <c r="D49" s="211"/>
      <c r="E49" s="211"/>
      <c r="F49" s="211"/>
      <c r="G49" s="216" t="s">
        <v>152</v>
      </c>
      <c r="H49" s="216"/>
      <c r="I49" s="67"/>
      <c r="J49" s="211"/>
      <c r="K49" s="211"/>
      <c r="L49" s="211"/>
      <c r="M49" s="216" t="s">
        <v>153</v>
      </c>
      <c r="N49" s="216"/>
      <c r="O49" s="67"/>
      <c r="P49" s="211"/>
      <c r="Q49" s="211"/>
      <c r="R49" s="211"/>
      <c r="S49" s="216" t="s">
        <v>154</v>
      </c>
      <c r="T49" s="216"/>
      <c r="U49" s="67"/>
      <c r="V49" s="211"/>
      <c r="W49" s="211"/>
      <c r="X49" s="211"/>
      <c r="Y49" s="211"/>
      <c r="Z49" s="211"/>
      <c r="AA49" s="211"/>
    </row>
    <row r="50" spans="1:27" ht="17.649999999999999" x14ac:dyDescent="0.5">
      <c r="A50" s="207" t="s">
        <v>91</v>
      </c>
      <c r="B50" s="207"/>
      <c r="C50" s="207"/>
      <c r="D50" s="208"/>
      <c r="E50" s="208"/>
      <c r="F50" s="208"/>
      <c r="G50" s="218" t="s">
        <v>155</v>
      </c>
      <c r="H50" s="218"/>
      <c r="I50" s="69"/>
      <c r="J50" s="208"/>
      <c r="K50" s="208"/>
      <c r="L50" s="208"/>
      <c r="M50" s="218" t="s">
        <v>156</v>
      </c>
      <c r="N50" s="218"/>
      <c r="O50" s="69"/>
      <c r="P50" s="208"/>
      <c r="Q50" s="208"/>
      <c r="R50" s="208"/>
      <c r="S50" s="218" t="s">
        <v>157</v>
      </c>
      <c r="T50" s="218"/>
      <c r="U50" s="69"/>
      <c r="V50" s="208"/>
      <c r="W50" s="208"/>
      <c r="X50" s="208"/>
      <c r="Y50" s="208"/>
      <c r="Z50" s="208"/>
      <c r="AA50" s="208"/>
    </row>
    <row r="51" spans="1:27" ht="17.649999999999999" x14ac:dyDescent="0.45">
      <c r="A51" s="211"/>
      <c r="B51" s="211"/>
      <c r="C51" s="211"/>
      <c r="D51" s="211"/>
      <c r="E51" s="211"/>
      <c r="F51" s="211"/>
      <c r="G51" s="211"/>
      <c r="H51" s="211"/>
      <c r="I51" s="211"/>
      <c r="J51" s="211"/>
      <c r="K51" s="211"/>
      <c r="L51" s="211"/>
      <c r="M51" s="211"/>
      <c r="N51" s="211"/>
      <c r="O51" s="211"/>
      <c r="P51" s="211"/>
      <c r="Q51" s="211"/>
      <c r="R51" s="211"/>
      <c r="S51" s="211"/>
      <c r="T51" s="211"/>
      <c r="U51" s="211"/>
      <c r="V51" s="211"/>
      <c r="W51" s="211"/>
      <c r="X51" s="211"/>
      <c r="Y51" s="211"/>
      <c r="Z51" s="211"/>
      <c r="AA51" s="211"/>
    </row>
    <row r="52" spans="1:27" ht="17.649999999999999" x14ac:dyDescent="0.5">
      <c r="A52" s="207" t="s">
        <v>96</v>
      </c>
      <c r="B52" s="207"/>
      <c r="C52" s="207"/>
      <c r="D52" s="208"/>
      <c r="E52" s="208"/>
      <c r="F52" s="208"/>
      <c r="G52" s="218" t="s">
        <v>158</v>
      </c>
      <c r="H52" s="218"/>
      <c r="I52" s="69"/>
      <c r="J52" s="208"/>
      <c r="K52" s="208"/>
      <c r="L52" s="208"/>
      <c r="M52" s="218" t="s">
        <v>159</v>
      </c>
      <c r="N52" s="218"/>
      <c r="O52" s="69"/>
      <c r="P52" s="208"/>
      <c r="Q52" s="208"/>
      <c r="R52" s="208"/>
      <c r="S52" s="218" t="s">
        <v>160</v>
      </c>
      <c r="T52" s="218"/>
      <c r="U52" s="69"/>
      <c r="V52" s="208"/>
      <c r="W52" s="208"/>
      <c r="X52" s="208"/>
      <c r="Y52" s="218" t="s">
        <v>161</v>
      </c>
      <c r="Z52" s="218"/>
      <c r="AA52" s="69"/>
    </row>
    <row r="53" spans="1:27" ht="17.649999999999999" x14ac:dyDescent="0.45">
      <c r="A53" s="211"/>
      <c r="B53" s="211"/>
      <c r="C53" s="211"/>
      <c r="D53" s="211"/>
      <c r="E53" s="211"/>
      <c r="F53" s="211"/>
      <c r="G53" s="211"/>
      <c r="H53" s="211"/>
      <c r="I53" s="211"/>
      <c r="J53" s="211"/>
      <c r="K53" s="211"/>
      <c r="L53" s="211"/>
      <c r="M53" s="211"/>
      <c r="N53" s="211"/>
      <c r="O53" s="211"/>
      <c r="P53" s="211"/>
      <c r="Q53" s="211"/>
      <c r="R53" s="211"/>
      <c r="S53" s="211"/>
      <c r="T53" s="211"/>
      <c r="U53" s="211"/>
      <c r="V53" s="211"/>
      <c r="W53" s="211"/>
      <c r="X53" s="211"/>
      <c r="Y53" s="211"/>
      <c r="Z53" s="211"/>
      <c r="AA53" s="211"/>
    </row>
    <row r="54" spans="1:27" ht="23.25" customHeight="1" x14ac:dyDescent="0.45">
      <c r="A54" s="232" t="s">
        <v>101</v>
      </c>
      <c r="B54" s="232"/>
      <c r="C54" s="232"/>
      <c r="D54" s="208"/>
      <c r="E54" s="208"/>
      <c r="F54" s="208"/>
      <c r="G54" s="208"/>
      <c r="H54" s="208"/>
      <c r="I54" s="208"/>
      <c r="J54" s="208"/>
      <c r="K54" s="208"/>
      <c r="L54" s="208"/>
      <c r="M54" s="208"/>
      <c r="N54" s="208"/>
      <c r="O54" s="208"/>
      <c r="P54" s="208"/>
      <c r="Q54" s="208"/>
      <c r="R54" s="208"/>
      <c r="S54" s="208"/>
      <c r="T54" s="208"/>
      <c r="U54" s="208"/>
      <c r="V54" s="208"/>
      <c r="W54" s="208"/>
      <c r="X54" s="208"/>
      <c r="Y54" s="208"/>
      <c r="Z54" s="208"/>
      <c r="AA54" s="208"/>
    </row>
    <row r="55" spans="1:27" ht="23.25" customHeight="1" x14ac:dyDescent="0.5">
      <c r="A55" s="231" t="s">
        <v>102</v>
      </c>
      <c r="B55" s="231"/>
      <c r="C55" s="231"/>
      <c r="D55" s="211"/>
      <c r="E55" s="211"/>
      <c r="F55" s="211"/>
      <c r="G55" s="211"/>
      <c r="H55" s="211"/>
      <c r="I55" s="211"/>
      <c r="J55" s="211"/>
      <c r="K55" s="211"/>
      <c r="L55" s="211"/>
      <c r="M55" s="211"/>
      <c r="N55" s="211"/>
      <c r="O55" s="211"/>
      <c r="P55" s="211"/>
      <c r="Q55" s="211"/>
      <c r="R55" s="211"/>
      <c r="S55" s="211"/>
      <c r="T55" s="211"/>
      <c r="U55" s="211"/>
      <c r="V55" s="211"/>
      <c r="W55" s="211"/>
      <c r="X55" s="211"/>
      <c r="Y55" s="216" t="s">
        <v>68</v>
      </c>
      <c r="Z55" s="216"/>
      <c r="AA55" s="67"/>
    </row>
    <row r="56" spans="1:27" ht="17.649999999999999" x14ac:dyDescent="0.5">
      <c r="A56" s="229" t="s">
        <v>103</v>
      </c>
      <c r="B56" s="229"/>
      <c r="C56" s="229"/>
      <c r="D56" s="208"/>
      <c r="E56" s="208"/>
      <c r="F56" s="208"/>
      <c r="G56" s="208"/>
      <c r="H56" s="208"/>
      <c r="I56" s="208"/>
      <c r="J56" s="208"/>
      <c r="K56" s="208"/>
      <c r="L56" s="208"/>
      <c r="M56" s="208"/>
      <c r="N56" s="208"/>
      <c r="O56" s="208"/>
      <c r="P56" s="208"/>
      <c r="Q56" s="208"/>
      <c r="R56" s="208"/>
      <c r="S56" s="208"/>
      <c r="T56" s="208"/>
      <c r="U56" s="208"/>
      <c r="V56" s="208"/>
      <c r="W56" s="208"/>
      <c r="X56" s="208"/>
      <c r="Y56" s="230">
        <v>-356090</v>
      </c>
      <c r="Z56" s="230"/>
      <c r="AA56" s="69"/>
    </row>
    <row r="57" spans="1:27" ht="18" thickBot="1" x14ac:dyDescent="0.55000000000000004">
      <c r="A57" s="228" t="s">
        <v>104</v>
      </c>
      <c r="B57" s="228"/>
      <c r="C57" s="228"/>
      <c r="D57" s="211"/>
      <c r="E57" s="211"/>
      <c r="F57" s="211"/>
      <c r="G57" s="211"/>
      <c r="H57" s="211"/>
      <c r="I57" s="211"/>
      <c r="J57" s="211"/>
      <c r="K57" s="211"/>
      <c r="L57" s="211"/>
      <c r="M57" s="211"/>
      <c r="N57" s="211"/>
      <c r="O57" s="211"/>
      <c r="P57" s="211"/>
      <c r="Q57" s="211"/>
      <c r="R57" s="211"/>
      <c r="S57" s="211"/>
      <c r="T57" s="211"/>
      <c r="U57" s="211"/>
      <c r="V57" s="211"/>
      <c r="W57" s="211"/>
      <c r="X57" s="211"/>
      <c r="Y57" s="210">
        <v>-1481</v>
      </c>
      <c r="Z57" s="210"/>
      <c r="AA57" s="67"/>
    </row>
    <row r="58" spans="1:27" ht="23.25" customHeight="1" thickBot="1" x14ac:dyDescent="0.55000000000000004">
      <c r="A58" s="207" t="s">
        <v>106</v>
      </c>
      <c r="B58" s="207"/>
      <c r="C58" s="207"/>
      <c r="D58" s="208"/>
      <c r="E58" s="208"/>
      <c r="F58" s="208"/>
      <c r="G58" s="208"/>
      <c r="H58" s="208"/>
      <c r="I58" s="208"/>
      <c r="J58" s="208"/>
      <c r="K58" s="208"/>
      <c r="L58" s="208"/>
      <c r="M58" s="208"/>
      <c r="N58" s="208"/>
      <c r="O58" s="208"/>
      <c r="P58" s="208"/>
      <c r="Q58" s="208"/>
      <c r="R58" s="208"/>
      <c r="S58" s="208"/>
      <c r="T58" s="208"/>
      <c r="U58" s="208"/>
      <c r="V58" s="208"/>
      <c r="W58" s="208"/>
      <c r="X58" s="208"/>
      <c r="Y58" s="70" t="s">
        <v>64</v>
      </c>
      <c r="Z58" s="71" t="s">
        <v>162</v>
      </c>
      <c r="AA58" s="72"/>
    </row>
    <row r="59" spans="1:27" ht="14.65" thickTop="1" x14ac:dyDescent="0.45"/>
    <row r="60" spans="1:27" ht="14.65" thickBot="1" x14ac:dyDescent="0.5"/>
    <row r="61" spans="1:27" ht="18" thickBot="1" x14ac:dyDescent="0.5">
      <c r="A61" s="226" t="s">
        <v>58</v>
      </c>
      <c r="B61" s="226"/>
      <c r="C61" s="226"/>
      <c r="D61" s="227">
        <v>2023</v>
      </c>
      <c r="E61" s="227"/>
      <c r="F61" s="227"/>
      <c r="G61" s="224"/>
      <c r="H61" s="224"/>
      <c r="I61" s="224"/>
      <c r="J61" s="227">
        <v>2022</v>
      </c>
      <c r="K61" s="227"/>
      <c r="L61" s="227"/>
      <c r="M61" s="224"/>
      <c r="N61" s="224"/>
      <c r="O61" s="224"/>
      <c r="P61" s="227">
        <v>2021</v>
      </c>
      <c r="Q61" s="227"/>
      <c r="R61" s="227"/>
    </row>
    <row r="62" spans="1:27" ht="17.649999999999999" x14ac:dyDescent="0.45">
      <c r="A62" s="223" t="s">
        <v>63</v>
      </c>
      <c r="B62" s="223"/>
      <c r="C62" s="223"/>
      <c r="D62" s="224"/>
      <c r="E62" s="224"/>
      <c r="F62" s="224"/>
      <c r="G62" s="225"/>
      <c r="H62" s="225"/>
      <c r="I62" s="225"/>
      <c r="J62" s="224"/>
      <c r="K62" s="224"/>
      <c r="L62" s="224"/>
      <c r="M62" s="225"/>
      <c r="N62" s="225"/>
      <c r="O62" s="225"/>
      <c r="P62" s="224"/>
      <c r="Q62" s="224"/>
      <c r="R62" s="224"/>
    </row>
    <row r="63" spans="1:27" ht="17.649999999999999" x14ac:dyDescent="0.5">
      <c r="A63" s="217" t="s">
        <v>59</v>
      </c>
      <c r="B63" s="217"/>
      <c r="C63" s="217"/>
      <c r="D63" s="73" t="s">
        <v>64</v>
      </c>
      <c r="E63" s="68" t="s">
        <v>137</v>
      </c>
      <c r="F63" s="69"/>
      <c r="G63" s="208"/>
      <c r="H63" s="208"/>
      <c r="I63" s="208"/>
      <c r="J63" s="73" t="s">
        <v>64</v>
      </c>
      <c r="K63" s="68" t="s">
        <v>163</v>
      </c>
      <c r="L63" s="69"/>
      <c r="M63" s="208"/>
      <c r="N63" s="208"/>
      <c r="O63" s="208"/>
      <c r="P63" s="73" t="s">
        <v>64</v>
      </c>
      <c r="Q63" s="68" t="s">
        <v>164</v>
      </c>
      <c r="R63" s="69"/>
    </row>
    <row r="64" spans="1:27" ht="17.649999999999999" x14ac:dyDescent="0.5">
      <c r="A64" s="215" t="s">
        <v>60</v>
      </c>
      <c r="B64" s="215"/>
      <c r="C64" s="215"/>
      <c r="D64" s="216" t="s">
        <v>138</v>
      </c>
      <c r="E64" s="216"/>
      <c r="F64" s="67"/>
      <c r="G64" s="211"/>
      <c r="H64" s="211"/>
      <c r="I64" s="211"/>
      <c r="J64" s="216" t="s">
        <v>165</v>
      </c>
      <c r="K64" s="216"/>
      <c r="L64" s="67"/>
      <c r="M64" s="211"/>
      <c r="N64" s="211"/>
      <c r="O64" s="211"/>
      <c r="P64" s="216" t="s">
        <v>166</v>
      </c>
      <c r="Q64" s="216"/>
      <c r="R64" s="67"/>
    </row>
    <row r="65" spans="1:18" ht="18" thickBot="1" x14ac:dyDescent="0.55000000000000004">
      <c r="A65" s="217" t="s">
        <v>61</v>
      </c>
      <c r="B65" s="217"/>
      <c r="C65" s="217"/>
      <c r="D65" s="222" t="s">
        <v>139</v>
      </c>
      <c r="E65" s="222"/>
      <c r="F65" s="69"/>
      <c r="G65" s="208"/>
      <c r="H65" s="208"/>
      <c r="I65" s="208"/>
      <c r="J65" s="222" t="s">
        <v>167</v>
      </c>
      <c r="K65" s="222"/>
      <c r="L65" s="69"/>
      <c r="M65" s="208"/>
      <c r="N65" s="208"/>
      <c r="O65" s="208"/>
      <c r="P65" s="222" t="s">
        <v>168</v>
      </c>
      <c r="Q65" s="222"/>
      <c r="R65" s="69"/>
    </row>
    <row r="66" spans="1:18" ht="18" thickBot="1" x14ac:dyDescent="0.55000000000000004">
      <c r="A66" s="221" t="s">
        <v>169</v>
      </c>
      <c r="B66" s="221"/>
      <c r="C66" s="221"/>
      <c r="D66" s="74" t="s">
        <v>64</v>
      </c>
      <c r="E66" s="75" t="s">
        <v>140</v>
      </c>
      <c r="F66" s="76"/>
      <c r="G66" s="211"/>
      <c r="H66" s="211"/>
      <c r="I66" s="211"/>
      <c r="J66" s="74" t="s">
        <v>64</v>
      </c>
      <c r="K66" s="75" t="s">
        <v>170</v>
      </c>
      <c r="L66" s="76"/>
      <c r="M66" s="211"/>
      <c r="N66" s="211"/>
      <c r="O66" s="211"/>
      <c r="P66" s="74" t="s">
        <v>64</v>
      </c>
      <c r="Q66" s="75" t="s">
        <v>171</v>
      </c>
      <c r="R66" s="76"/>
    </row>
    <row r="67" spans="1:18" ht="18" thickTop="1" x14ac:dyDescent="0.45">
      <c r="A67" s="208"/>
      <c r="B67" s="208"/>
      <c r="C67" s="208"/>
      <c r="D67" s="219"/>
      <c r="E67" s="219"/>
      <c r="F67" s="219"/>
      <c r="G67" s="208"/>
      <c r="H67" s="208"/>
      <c r="I67" s="208"/>
      <c r="J67" s="219"/>
      <c r="K67" s="219"/>
      <c r="L67" s="219"/>
      <c r="M67" s="208"/>
      <c r="N67" s="208"/>
      <c r="O67" s="208"/>
      <c r="P67" s="219"/>
      <c r="Q67" s="219"/>
      <c r="R67" s="219"/>
    </row>
    <row r="68" spans="1:18" ht="17.649999999999999" x14ac:dyDescent="0.45">
      <c r="A68" s="220" t="s">
        <v>70</v>
      </c>
      <c r="B68" s="220"/>
      <c r="C68" s="220"/>
      <c r="D68" s="211"/>
      <c r="E68" s="211"/>
      <c r="F68" s="211"/>
      <c r="G68" s="211"/>
      <c r="H68" s="211"/>
      <c r="I68" s="211"/>
      <c r="J68" s="211"/>
      <c r="K68" s="211"/>
      <c r="L68" s="211"/>
      <c r="M68" s="211"/>
      <c r="N68" s="211"/>
      <c r="O68" s="211"/>
      <c r="P68" s="211"/>
      <c r="Q68" s="211"/>
      <c r="R68" s="211"/>
    </row>
    <row r="69" spans="1:18" ht="17.649999999999999" x14ac:dyDescent="0.5">
      <c r="A69" s="217" t="s">
        <v>59</v>
      </c>
      <c r="B69" s="217"/>
      <c r="C69" s="217"/>
      <c r="D69" s="73" t="s">
        <v>64</v>
      </c>
      <c r="E69" s="68" t="s">
        <v>141</v>
      </c>
      <c r="F69" s="69"/>
      <c r="G69" s="208"/>
      <c r="H69" s="208"/>
      <c r="I69" s="208"/>
      <c r="J69" s="73" t="s">
        <v>64</v>
      </c>
      <c r="K69" s="68" t="s">
        <v>172</v>
      </c>
      <c r="L69" s="69"/>
      <c r="M69" s="208"/>
      <c r="N69" s="208"/>
      <c r="O69" s="208"/>
      <c r="P69" s="73" t="s">
        <v>64</v>
      </c>
      <c r="Q69" s="68" t="s">
        <v>173</v>
      </c>
      <c r="R69" s="69"/>
    </row>
    <row r="70" spans="1:18" ht="17.649999999999999" x14ac:dyDescent="0.5">
      <c r="A70" s="215" t="s">
        <v>60</v>
      </c>
      <c r="B70" s="215"/>
      <c r="C70" s="215"/>
      <c r="D70" s="216" t="s">
        <v>142</v>
      </c>
      <c r="E70" s="216"/>
      <c r="F70" s="67"/>
      <c r="G70" s="211"/>
      <c r="H70" s="211"/>
      <c r="I70" s="211"/>
      <c r="J70" s="216" t="s">
        <v>174</v>
      </c>
      <c r="K70" s="216"/>
      <c r="L70" s="67"/>
      <c r="M70" s="211"/>
      <c r="N70" s="211"/>
      <c r="O70" s="211"/>
      <c r="P70" s="216" t="s">
        <v>175</v>
      </c>
      <c r="Q70" s="216"/>
      <c r="R70" s="67"/>
    </row>
    <row r="71" spans="1:18" ht="18" thickBot="1" x14ac:dyDescent="0.55000000000000004">
      <c r="A71" s="217" t="s">
        <v>61</v>
      </c>
      <c r="B71" s="217"/>
      <c r="C71" s="217"/>
      <c r="D71" s="222" t="s">
        <v>143</v>
      </c>
      <c r="E71" s="222"/>
      <c r="F71" s="69"/>
      <c r="G71" s="208"/>
      <c r="H71" s="208"/>
      <c r="I71" s="208"/>
      <c r="J71" s="222" t="s">
        <v>176</v>
      </c>
      <c r="K71" s="222"/>
      <c r="L71" s="69"/>
      <c r="M71" s="208"/>
      <c r="N71" s="208"/>
      <c r="O71" s="208"/>
      <c r="P71" s="222" t="s">
        <v>177</v>
      </c>
      <c r="Q71" s="222"/>
      <c r="R71" s="69"/>
    </row>
    <row r="72" spans="1:18" ht="18" thickBot="1" x14ac:dyDescent="0.55000000000000004">
      <c r="A72" s="221" t="s">
        <v>169</v>
      </c>
      <c r="B72" s="221"/>
      <c r="C72" s="221"/>
      <c r="D72" s="74" t="s">
        <v>64</v>
      </c>
      <c r="E72" s="75" t="s">
        <v>144</v>
      </c>
      <c r="F72" s="76"/>
      <c r="G72" s="211"/>
      <c r="H72" s="211"/>
      <c r="I72" s="211"/>
      <c r="J72" s="74" t="s">
        <v>64</v>
      </c>
      <c r="K72" s="75" t="s">
        <v>178</v>
      </c>
      <c r="L72" s="76"/>
      <c r="M72" s="211"/>
      <c r="N72" s="211"/>
      <c r="O72" s="211"/>
      <c r="P72" s="74" t="s">
        <v>64</v>
      </c>
      <c r="Q72" s="75" t="s">
        <v>179</v>
      </c>
      <c r="R72" s="76"/>
    </row>
    <row r="73" spans="1:18" ht="18" thickTop="1" x14ac:dyDescent="0.45">
      <c r="A73" s="208"/>
      <c r="B73" s="208"/>
      <c r="C73" s="208"/>
      <c r="D73" s="219"/>
      <c r="E73" s="219"/>
      <c r="F73" s="219"/>
      <c r="G73" s="208"/>
      <c r="H73" s="208"/>
      <c r="I73" s="208"/>
      <c r="J73" s="219"/>
      <c r="K73" s="219"/>
      <c r="L73" s="219"/>
      <c r="M73" s="208"/>
      <c r="N73" s="208"/>
      <c r="O73" s="208"/>
      <c r="P73" s="219"/>
      <c r="Q73" s="219"/>
      <c r="R73" s="219"/>
    </row>
    <row r="74" spans="1:18" ht="17.649999999999999" x14ac:dyDescent="0.45">
      <c r="A74" s="220" t="s">
        <v>76</v>
      </c>
      <c r="B74" s="220"/>
      <c r="C74" s="220"/>
      <c r="D74" s="211"/>
      <c r="E74" s="211"/>
      <c r="F74" s="211"/>
      <c r="G74" s="211"/>
      <c r="H74" s="211"/>
      <c r="I74" s="211"/>
      <c r="J74" s="211"/>
      <c r="K74" s="211"/>
      <c r="L74" s="211"/>
      <c r="M74" s="211"/>
      <c r="N74" s="211"/>
      <c r="O74" s="211"/>
      <c r="P74" s="211"/>
      <c r="Q74" s="211"/>
      <c r="R74" s="211"/>
    </row>
    <row r="75" spans="1:18" ht="17.649999999999999" x14ac:dyDescent="0.5">
      <c r="A75" s="217" t="s">
        <v>59</v>
      </c>
      <c r="B75" s="217"/>
      <c r="C75" s="217"/>
      <c r="D75" s="73" t="s">
        <v>64</v>
      </c>
      <c r="E75" s="68" t="s">
        <v>145</v>
      </c>
      <c r="F75" s="69"/>
      <c r="G75" s="208"/>
      <c r="H75" s="208"/>
      <c r="I75" s="208"/>
      <c r="J75" s="73" t="s">
        <v>64</v>
      </c>
      <c r="K75" s="68" t="s">
        <v>180</v>
      </c>
      <c r="L75" s="69"/>
      <c r="M75" s="208"/>
      <c r="N75" s="208"/>
      <c r="O75" s="208"/>
      <c r="P75" s="73" t="s">
        <v>64</v>
      </c>
      <c r="Q75" s="68" t="s">
        <v>181</v>
      </c>
      <c r="R75" s="69"/>
    </row>
    <row r="76" spans="1:18" ht="17.649999999999999" x14ac:dyDescent="0.5">
      <c r="A76" s="215" t="s">
        <v>60</v>
      </c>
      <c r="B76" s="215"/>
      <c r="C76" s="215"/>
      <c r="D76" s="216" t="s">
        <v>146</v>
      </c>
      <c r="E76" s="216"/>
      <c r="F76" s="67"/>
      <c r="G76" s="211"/>
      <c r="H76" s="211"/>
      <c r="I76" s="211"/>
      <c r="J76" s="216" t="s">
        <v>182</v>
      </c>
      <c r="K76" s="216"/>
      <c r="L76" s="67"/>
      <c r="M76" s="211"/>
      <c r="N76" s="211"/>
      <c r="O76" s="211"/>
      <c r="P76" s="216" t="s">
        <v>183</v>
      </c>
      <c r="Q76" s="216"/>
      <c r="R76" s="67"/>
    </row>
    <row r="77" spans="1:18" ht="18" thickBot="1" x14ac:dyDescent="0.55000000000000004">
      <c r="A77" s="217" t="s">
        <v>61</v>
      </c>
      <c r="B77" s="217"/>
      <c r="C77" s="217"/>
      <c r="D77" s="222" t="s">
        <v>147</v>
      </c>
      <c r="E77" s="222"/>
      <c r="F77" s="69"/>
      <c r="G77" s="208"/>
      <c r="H77" s="208"/>
      <c r="I77" s="208"/>
      <c r="J77" s="222" t="s">
        <v>184</v>
      </c>
      <c r="K77" s="222"/>
      <c r="L77" s="69"/>
      <c r="M77" s="208"/>
      <c r="N77" s="208"/>
      <c r="O77" s="208"/>
      <c r="P77" s="222" t="s">
        <v>185</v>
      </c>
      <c r="Q77" s="222"/>
      <c r="R77" s="69"/>
    </row>
    <row r="78" spans="1:18" ht="18" thickBot="1" x14ac:dyDescent="0.55000000000000004">
      <c r="A78" s="221" t="s">
        <v>169</v>
      </c>
      <c r="B78" s="221"/>
      <c r="C78" s="221"/>
      <c r="D78" s="74" t="s">
        <v>64</v>
      </c>
      <c r="E78" s="75" t="s">
        <v>148</v>
      </c>
      <c r="F78" s="76"/>
      <c r="G78" s="211"/>
      <c r="H78" s="211"/>
      <c r="I78" s="211"/>
      <c r="J78" s="74" t="s">
        <v>64</v>
      </c>
      <c r="K78" s="75" t="s">
        <v>186</v>
      </c>
      <c r="L78" s="76"/>
      <c r="M78" s="211"/>
      <c r="N78" s="211"/>
      <c r="O78" s="211"/>
      <c r="P78" s="74" t="s">
        <v>64</v>
      </c>
      <c r="Q78" s="75" t="s">
        <v>187</v>
      </c>
      <c r="R78" s="76"/>
    </row>
    <row r="79" spans="1:18" ht="18" thickTop="1" x14ac:dyDescent="0.45">
      <c r="A79" s="208"/>
      <c r="B79" s="208"/>
      <c r="C79" s="208"/>
      <c r="D79" s="219"/>
      <c r="E79" s="219"/>
      <c r="F79" s="219"/>
      <c r="G79" s="208"/>
      <c r="H79" s="208"/>
      <c r="I79" s="208"/>
      <c r="J79" s="219"/>
      <c r="K79" s="219"/>
      <c r="L79" s="219"/>
      <c r="M79" s="208"/>
      <c r="N79" s="208"/>
      <c r="O79" s="208"/>
      <c r="P79" s="219"/>
      <c r="Q79" s="219"/>
      <c r="R79" s="219"/>
    </row>
    <row r="80" spans="1:18" ht="17.649999999999999" x14ac:dyDescent="0.45">
      <c r="A80" s="220" t="s">
        <v>188</v>
      </c>
      <c r="B80" s="220"/>
      <c r="C80" s="220"/>
      <c r="D80" s="211"/>
      <c r="E80" s="211"/>
      <c r="F80" s="211"/>
      <c r="G80" s="211"/>
      <c r="H80" s="211"/>
      <c r="I80" s="211"/>
      <c r="J80" s="211"/>
      <c r="K80" s="211"/>
      <c r="L80" s="211"/>
      <c r="M80" s="211"/>
      <c r="N80" s="211"/>
      <c r="O80" s="211"/>
      <c r="P80" s="211"/>
      <c r="Q80" s="211"/>
      <c r="R80" s="211"/>
    </row>
    <row r="81" spans="1:18" ht="17.649999999999999" x14ac:dyDescent="0.5">
      <c r="A81" s="217" t="s">
        <v>59</v>
      </c>
      <c r="B81" s="217"/>
      <c r="C81" s="217"/>
      <c r="D81" s="73" t="s">
        <v>64</v>
      </c>
      <c r="E81" s="68" t="s">
        <v>189</v>
      </c>
      <c r="F81" s="69"/>
      <c r="G81" s="208"/>
      <c r="H81" s="208"/>
      <c r="I81" s="208"/>
      <c r="J81" s="73" t="s">
        <v>64</v>
      </c>
      <c r="K81" s="68" t="s">
        <v>190</v>
      </c>
      <c r="L81" s="69"/>
      <c r="M81" s="208"/>
      <c r="N81" s="208"/>
      <c r="O81" s="208"/>
      <c r="P81" s="73" t="s">
        <v>64</v>
      </c>
      <c r="Q81" s="68" t="s">
        <v>191</v>
      </c>
      <c r="R81" s="69"/>
    </row>
    <row r="82" spans="1:18" ht="17.649999999999999" x14ac:dyDescent="0.5">
      <c r="A82" s="215" t="s">
        <v>60</v>
      </c>
      <c r="B82" s="215"/>
      <c r="C82" s="215"/>
      <c r="D82" s="216" t="s">
        <v>192</v>
      </c>
      <c r="E82" s="216"/>
      <c r="F82" s="67"/>
      <c r="G82" s="211"/>
      <c r="H82" s="211"/>
      <c r="I82" s="211"/>
      <c r="J82" s="216" t="s">
        <v>193</v>
      </c>
      <c r="K82" s="216"/>
      <c r="L82" s="67"/>
      <c r="M82" s="211"/>
      <c r="N82" s="211"/>
      <c r="O82" s="211"/>
      <c r="P82" s="216" t="s">
        <v>194</v>
      </c>
      <c r="Q82" s="216"/>
      <c r="R82" s="67"/>
    </row>
    <row r="83" spans="1:18" ht="18" thickBot="1" x14ac:dyDescent="0.55000000000000004">
      <c r="A83" s="217" t="s">
        <v>61</v>
      </c>
      <c r="B83" s="217"/>
      <c r="C83" s="217"/>
      <c r="D83" s="222" t="s">
        <v>195</v>
      </c>
      <c r="E83" s="222"/>
      <c r="F83" s="69"/>
      <c r="G83" s="208"/>
      <c r="H83" s="208"/>
      <c r="I83" s="208"/>
      <c r="J83" s="222" t="s">
        <v>196</v>
      </c>
      <c r="K83" s="222"/>
      <c r="L83" s="69"/>
      <c r="M83" s="208"/>
      <c r="N83" s="208"/>
      <c r="O83" s="208"/>
      <c r="P83" s="222" t="s">
        <v>197</v>
      </c>
      <c r="Q83" s="222"/>
      <c r="R83" s="69"/>
    </row>
    <row r="84" spans="1:18" ht="18" thickBot="1" x14ac:dyDescent="0.55000000000000004">
      <c r="A84" s="221" t="s">
        <v>169</v>
      </c>
      <c r="B84" s="221"/>
      <c r="C84" s="221"/>
      <c r="D84" s="74" t="s">
        <v>64</v>
      </c>
      <c r="E84" s="75" t="s">
        <v>198</v>
      </c>
      <c r="F84" s="76"/>
      <c r="G84" s="211"/>
      <c r="H84" s="211"/>
      <c r="I84" s="211"/>
      <c r="J84" s="74" t="s">
        <v>64</v>
      </c>
      <c r="K84" s="75" t="s">
        <v>199</v>
      </c>
      <c r="L84" s="76"/>
      <c r="M84" s="211"/>
      <c r="N84" s="211"/>
      <c r="O84" s="211"/>
      <c r="P84" s="74" t="s">
        <v>64</v>
      </c>
      <c r="Q84" s="75" t="s">
        <v>200</v>
      </c>
      <c r="R84" s="76"/>
    </row>
    <row r="85" spans="1:18" ht="18" thickTop="1" x14ac:dyDescent="0.45">
      <c r="A85" s="208"/>
      <c r="B85" s="208"/>
      <c r="C85" s="208"/>
      <c r="D85" s="219"/>
      <c r="E85" s="219"/>
      <c r="F85" s="219"/>
      <c r="G85" s="208"/>
      <c r="H85" s="208"/>
      <c r="I85" s="208"/>
      <c r="J85" s="219"/>
      <c r="K85" s="219"/>
      <c r="L85" s="219"/>
      <c r="M85" s="208"/>
      <c r="N85" s="208"/>
      <c r="O85" s="208"/>
      <c r="P85" s="219"/>
      <c r="Q85" s="219"/>
      <c r="R85" s="219"/>
    </row>
    <row r="86" spans="1:18" ht="17.649999999999999" x14ac:dyDescent="0.45">
      <c r="A86" s="220" t="s">
        <v>201</v>
      </c>
      <c r="B86" s="220"/>
      <c r="C86" s="220"/>
      <c r="D86" s="211"/>
      <c r="E86" s="211"/>
      <c r="F86" s="211"/>
      <c r="G86" s="211"/>
      <c r="H86" s="211"/>
      <c r="I86" s="211"/>
      <c r="J86" s="211"/>
      <c r="K86" s="211"/>
      <c r="L86" s="211"/>
      <c r="M86" s="211"/>
      <c r="N86" s="211"/>
      <c r="O86" s="211"/>
      <c r="P86" s="211"/>
      <c r="Q86" s="211"/>
      <c r="R86" s="211"/>
    </row>
    <row r="87" spans="1:18" ht="17.649999999999999" x14ac:dyDescent="0.5">
      <c r="A87" s="217" t="s">
        <v>59</v>
      </c>
      <c r="B87" s="217"/>
      <c r="C87" s="217"/>
      <c r="D87" s="73" t="s">
        <v>64</v>
      </c>
      <c r="E87" s="68" t="s">
        <v>158</v>
      </c>
      <c r="F87" s="69"/>
      <c r="G87" s="208"/>
      <c r="H87" s="208"/>
      <c r="I87" s="208"/>
      <c r="J87" s="73" t="s">
        <v>64</v>
      </c>
      <c r="K87" s="68" t="s">
        <v>202</v>
      </c>
      <c r="L87" s="69"/>
      <c r="M87" s="208"/>
      <c r="N87" s="208"/>
      <c r="O87" s="208"/>
      <c r="P87" s="73" t="s">
        <v>64</v>
      </c>
      <c r="Q87" s="68" t="s">
        <v>203</v>
      </c>
      <c r="R87" s="69"/>
    </row>
    <row r="88" spans="1:18" ht="17.649999999999999" x14ac:dyDescent="0.5">
      <c r="A88" s="215" t="s">
        <v>60</v>
      </c>
      <c r="B88" s="215"/>
      <c r="C88" s="215"/>
      <c r="D88" s="216" t="s">
        <v>159</v>
      </c>
      <c r="E88" s="216"/>
      <c r="F88" s="67"/>
      <c r="G88" s="211"/>
      <c r="H88" s="211"/>
      <c r="I88" s="211"/>
      <c r="J88" s="216" t="s">
        <v>204</v>
      </c>
      <c r="K88" s="216"/>
      <c r="L88" s="67"/>
      <c r="M88" s="211"/>
      <c r="N88" s="211"/>
      <c r="O88" s="211"/>
      <c r="P88" s="216" t="s">
        <v>205</v>
      </c>
      <c r="Q88" s="216"/>
      <c r="R88" s="67"/>
    </row>
    <row r="89" spans="1:18" ht="17.649999999999999" x14ac:dyDescent="0.5">
      <c r="A89" s="217" t="s">
        <v>61</v>
      </c>
      <c r="B89" s="217"/>
      <c r="C89" s="217"/>
      <c r="D89" s="218" t="s">
        <v>160</v>
      </c>
      <c r="E89" s="218"/>
      <c r="F89" s="69"/>
      <c r="G89" s="208"/>
      <c r="H89" s="208"/>
      <c r="I89" s="208"/>
      <c r="J89" s="218" t="s">
        <v>206</v>
      </c>
      <c r="K89" s="218"/>
      <c r="L89" s="69"/>
      <c r="M89" s="208"/>
      <c r="N89" s="208"/>
      <c r="O89" s="208"/>
      <c r="P89" s="218" t="s">
        <v>207</v>
      </c>
      <c r="Q89" s="218"/>
      <c r="R89" s="69"/>
    </row>
    <row r="90" spans="1:18" ht="18" thickBot="1" x14ac:dyDescent="0.55000000000000004">
      <c r="A90" s="215" t="s">
        <v>208</v>
      </c>
      <c r="B90" s="215"/>
      <c r="C90" s="215"/>
      <c r="D90" s="210">
        <v>-356090</v>
      </c>
      <c r="E90" s="210"/>
      <c r="F90" s="67"/>
      <c r="G90" s="211"/>
      <c r="H90" s="211"/>
      <c r="I90" s="211"/>
      <c r="J90" s="210">
        <v>-328657</v>
      </c>
      <c r="K90" s="210"/>
      <c r="L90" s="67"/>
      <c r="M90" s="211"/>
      <c r="N90" s="211"/>
      <c r="O90" s="211"/>
      <c r="P90" s="210">
        <v>-441581</v>
      </c>
      <c r="Q90" s="210"/>
      <c r="R90" s="67"/>
    </row>
    <row r="91" spans="1:18" ht="17.649999999999999" x14ac:dyDescent="0.5">
      <c r="A91" s="212" t="s">
        <v>169</v>
      </c>
      <c r="B91" s="212"/>
      <c r="C91" s="212"/>
      <c r="D91" s="213" t="s">
        <v>209</v>
      </c>
      <c r="E91" s="213"/>
      <c r="F91" s="66"/>
      <c r="G91" s="208"/>
      <c r="H91" s="208"/>
      <c r="I91" s="208"/>
      <c r="J91" s="214">
        <v>-7439</v>
      </c>
      <c r="K91" s="214"/>
      <c r="L91" s="66"/>
      <c r="M91" s="208"/>
      <c r="N91" s="208"/>
      <c r="O91" s="208"/>
      <c r="P91" s="214">
        <v>-79299</v>
      </c>
      <c r="Q91" s="214"/>
      <c r="R91" s="66"/>
    </row>
    <row r="92" spans="1:18" ht="18" thickBot="1" x14ac:dyDescent="0.55000000000000004">
      <c r="A92" s="209" t="s">
        <v>104</v>
      </c>
      <c r="B92" s="209"/>
      <c r="C92" s="209"/>
      <c r="D92" s="210">
        <v>-1481</v>
      </c>
      <c r="E92" s="210"/>
      <c r="F92" s="67"/>
      <c r="G92" s="211"/>
      <c r="H92" s="211"/>
      <c r="I92" s="211"/>
      <c r="J92" s="210">
        <v>-8304</v>
      </c>
      <c r="K92" s="210"/>
      <c r="L92" s="67"/>
      <c r="M92" s="211"/>
      <c r="N92" s="211"/>
      <c r="O92" s="211"/>
      <c r="P92" s="210">
        <v>-44511</v>
      </c>
      <c r="Q92" s="210"/>
      <c r="R92" s="67"/>
    </row>
    <row r="93" spans="1:18" ht="18" thickBot="1" x14ac:dyDescent="0.55000000000000004">
      <c r="A93" s="207" t="s">
        <v>210</v>
      </c>
      <c r="B93" s="207"/>
      <c r="C93" s="207"/>
      <c r="D93" s="70" t="s">
        <v>64</v>
      </c>
      <c r="E93" s="71" t="s">
        <v>162</v>
      </c>
      <c r="F93" s="72"/>
      <c r="G93" s="208"/>
      <c r="H93" s="208"/>
      <c r="I93" s="208"/>
      <c r="J93" s="70" t="s">
        <v>64</v>
      </c>
      <c r="K93" s="77">
        <v>-15743</v>
      </c>
      <c r="L93" s="72"/>
      <c r="M93" s="208"/>
      <c r="N93" s="208"/>
      <c r="O93" s="208"/>
      <c r="P93" s="70" t="s">
        <v>64</v>
      </c>
      <c r="Q93" s="77">
        <v>-123810</v>
      </c>
      <c r="R93" s="72"/>
    </row>
    <row r="94" spans="1:18" ht="14.65" thickTop="1" x14ac:dyDescent="0.45"/>
  </sheetData>
  <mergeCells count="622">
    <mergeCell ref="A2:C2"/>
    <mergeCell ref="D2:F2"/>
    <mergeCell ref="G2:AG2"/>
    <mergeCell ref="A3:C3"/>
    <mergeCell ref="D3:F3"/>
    <mergeCell ref="G3:I3"/>
    <mergeCell ref="J3:L3"/>
    <mergeCell ref="M3:O3"/>
    <mergeCell ref="P3:R3"/>
    <mergeCell ref="S3:U3"/>
    <mergeCell ref="V3:X3"/>
    <mergeCell ref="Y3:AA3"/>
    <mergeCell ref="AB3:AD3"/>
    <mergeCell ref="AE3:AG3"/>
    <mergeCell ref="A4:C4"/>
    <mergeCell ref="D4:F4"/>
    <mergeCell ref="J4:L4"/>
    <mergeCell ref="P4:R4"/>
    <mergeCell ref="V4:X4"/>
    <mergeCell ref="AB4:AD4"/>
    <mergeCell ref="A6:C6"/>
    <mergeCell ref="D6:F6"/>
    <mergeCell ref="G6:H6"/>
    <mergeCell ref="J6:L6"/>
    <mergeCell ref="M6:N6"/>
    <mergeCell ref="A5:C5"/>
    <mergeCell ref="D5:F5"/>
    <mergeCell ref="G5:H5"/>
    <mergeCell ref="J5:L5"/>
    <mergeCell ref="M5:N5"/>
    <mergeCell ref="P6:R6"/>
    <mergeCell ref="S6:T6"/>
    <mergeCell ref="V6:X6"/>
    <mergeCell ref="Y6:Z6"/>
    <mergeCell ref="AB6:AD6"/>
    <mergeCell ref="AE6:AF6"/>
    <mergeCell ref="S5:T5"/>
    <mergeCell ref="V5:X5"/>
    <mergeCell ref="Y5:Z5"/>
    <mergeCell ref="AB5:AD5"/>
    <mergeCell ref="AE5:AF5"/>
    <mergeCell ref="P5:R5"/>
    <mergeCell ref="A9:C9"/>
    <mergeCell ref="D9:F9"/>
    <mergeCell ref="G9:I9"/>
    <mergeCell ref="J9:L9"/>
    <mergeCell ref="M9:O9"/>
    <mergeCell ref="A7:C7"/>
    <mergeCell ref="D7:F7"/>
    <mergeCell ref="G7:H7"/>
    <mergeCell ref="J7:L7"/>
    <mergeCell ref="M7:N7"/>
    <mergeCell ref="P9:R9"/>
    <mergeCell ref="S9:U9"/>
    <mergeCell ref="V9:X9"/>
    <mergeCell ref="Y9:AA9"/>
    <mergeCell ref="AB9:AD9"/>
    <mergeCell ref="AE9:AG9"/>
    <mergeCell ref="S7:T7"/>
    <mergeCell ref="V7:X7"/>
    <mergeCell ref="Y7:Z7"/>
    <mergeCell ref="AB7:AD7"/>
    <mergeCell ref="AE7:AG7"/>
    <mergeCell ref="P7:R7"/>
    <mergeCell ref="A11:C11"/>
    <mergeCell ref="D11:F11"/>
    <mergeCell ref="G11:H11"/>
    <mergeCell ref="J11:L11"/>
    <mergeCell ref="M11:N11"/>
    <mergeCell ref="A10:C10"/>
    <mergeCell ref="D10:F10"/>
    <mergeCell ref="G10:H10"/>
    <mergeCell ref="J10:L10"/>
    <mergeCell ref="M10:N10"/>
    <mergeCell ref="P11:R11"/>
    <mergeCell ref="S11:T11"/>
    <mergeCell ref="V11:X11"/>
    <mergeCell ref="Y11:Z11"/>
    <mergeCell ref="AB11:AD11"/>
    <mergeCell ref="AE11:AG11"/>
    <mergeCell ref="S10:T10"/>
    <mergeCell ref="V10:X10"/>
    <mergeCell ref="Y10:Z10"/>
    <mergeCell ref="AB10:AD10"/>
    <mergeCell ref="AE10:AG10"/>
    <mergeCell ref="P10:R10"/>
    <mergeCell ref="A13:C13"/>
    <mergeCell ref="D13:F13"/>
    <mergeCell ref="G13:H13"/>
    <mergeCell ref="J13:L13"/>
    <mergeCell ref="M13:N13"/>
    <mergeCell ref="A12:C12"/>
    <mergeCell ref="D12:F12"/>
    <mergeCell ref="G12:I12"/>
    <mergeCell ref="J12:L12"/>
    <mergeCell ref="M12:O12"/>
    <mergeCell ref="P13:R13"/>
    <mergeCell ref="S13:T13"/>
    <mergeCell ref="V13:X13"/>
    <mergeCell ref="Y13:Z13"/>
    <mergeCell ref="AB13:AD13"/>
    <mergeCell ref="AE13:AF13"/>
    <mergeCell ref="S12:U12"/>
    <mergeCell ref="V12:X12"/>
    <mergeCell ref="Y12:AA12"/>
    <mergeCell ref="AB12:AD12"/>
    <mergeCell ref="AE12:AG12"/>
    <mergeCell ref="P12:R12"/>
    <mergeCell ref="A15:C15"/>
    <mergeCell ref="D15:F15"/>
    <mergeCell ref="G15:I15"/>
    <mergeCell ref="J15:L15"/>
    <mergeCell ref="M15:O15"/>
    <mergeCell ref="A14:C14"/>
    <mergeCell ref="D14:F14"/>
    <mergeCell ref="G14:I14"/>
    <mergeCell ref="J14:L14"/>
    <mergeCell ref="M14:O14"/>
    <mergeCell ref="P15:R15"/>
    <mergeCell ref="P14:R14"/>
    <mergeCell ref="S15:U15"/>
    <mergeCell ref="V15:X15"/>
    <mergeCell ref="Y15:AA15"/>
    <mergeCell ref="AB15:AD15"/>
    <mergeCell ref="AE15:AG15"/>
    <mergeCell ref="S14:U14"/>
    <mergeCell ref="V14:X14"/>
    <mergeCell ref="Y14:AA14"/>
    <mergeCell ref="AB14:AD14"/>
    <mergeCell ref="AE14:AG14"/>
    <mergeCell ref="A17:C17"/>
    <mergeCell ref="D17:F17"/>
    <mergeCell ref="G17:I17"/>
    <mergeCell ref="J17:L17"/>
    <mergeCell ref="M17:O17"/>
    <mergeCell ref="A16:C16"/>
    <mergeCell ref="D16:F16"/>
    <mergeCell ref="G16:I16"/>
    <mergeCell ref="J16:L16"/>
    <mergeCell ref="M16:O16"/>
    <mergeCell ref="P17:R17"/>
    <mergeCell ref="S17:U17"/>
    <mergeCell ref="V17:X17"/>
    <mergeCell ref="Y17:AA17"/>
    <mergeCell ref="AB17:AD17"/>
    <mergeCell ref="AE17:AF17"/>
    <mergeCell ref="S16:U16"/>
    <mergeCell ref="V16:X16"/>
    <mergeCell ref="Y16:AA16"/>
    <mergeCell ref="AB16:AD16"/>
    <mergeCell ref="AE16:AF16"/>
    <mergeCell ref="P16:R16"/>
    <mergeCell ref="AE18:AF18"/>
    <mergeCell ref="A19:C19"/>
    <mergeCell ref="D19:F19"/>
    <mergeCell ref="G19:I19"/>
    <mergeCell ref="J19:L19"/>
    <mergeCell ref="M19:O19"/>
    <mergeCell ref="A18:C18"/>
    <mergeCell ref="D18:F18"/>
    <mergeCell ref="G18:I18"/>
    <mergeCell ref="J18:L18"/>
    <mergeCell ref="M18:O18"/>
    <mergeCell ref="P18:R18"/>
    <mergeCell ref="P19:R19"/>
    <mergeCell ref="S19:U19"/>
    <mergeCell ref="V19:X19"/>
    <mergeCell ref="Y19:AA19"/>
    <mergeCell ref="AB19:AD19"/>
    <mergeCell ref="A23:C23"/>
    <mergeCell ref="D23:F23"/>
    <mergeCell ref="G23:AA23"/>
    <mergeCell ref="S18:U18"/>
    <mergeCell ref="V18:X18"/>
    <mergeCell ref="Y18:AA18"/>
    <mergeCell ref="AB18:AD18"/>
    <mergeCell ref="S24:U24"/>
    <mergeCell ref="V24:X24"/>
    <mergeCell ref="Y24:AA24"/>
    <mergeCell ref="A25:C25"/>
    <mergeCell ref="D25:F25"/>
    <mergeCell ref="J25:L25"/>
    <mergeCell ref="P25:R25"/>
    <mergeCell ref="V25:X25"/>
    <mergeCell ref="A24:C24"/>
    <mergeCell ref="D24:F24"/>
    <mergeCell ref="G24:I24"/>
    <mergeCell ref="J24:L24"/>
    <mergeCell ref="M24:O24"/>
    <mergeCell ref="P24:R24"/>
    <mergeCell ref="S26:T26"/>
    <mergeCell ref="V26:X26"/>
    <mergeCell ref="Y26:Z26"/>
    <mergeCell ref="A27:C27"/>
    <mergeCell ref="D27:F27"/>
    <mergeCell ref="G27:H27"/>
    <mergeCell ref="J27:L27"/>
    <mergeCell ref="M27:N27"/>
    <mergeCell ref="P27:R27"/>
    <mergeCell ref="S27:T27"/>
    <mergeCell ref="A26:C26"/>
    <mergeCell ref="D26:F26"/>
    <mergeCell ref="G26:H26"/>
    <mergeCell ref="J26:L26"/>
    <mergeCell ref="M26:N26"/>
    <mergeCell ref="P26:R26"/>
    <mergeCell ref="V27:X27"/>
    <mergeCell ref="Y27:Z27"/>
    <mergeCell ref="A28:C28"/>
    <mergeCell ref="D28:F28"/>
    <mergeCell ref="G28:H28"/>
    <mergeCell ref="J28:L28"/>
    <mergeCell ref="M28:N28"/>
    <mergeCell ref="P28:R28"/>
    <mergeCell ref="S28:T28"/>
    <mergeCell ref="V28:X28"/>
    <mergeCell ref="Y28:AA28"/>
    <mergeCell ref="A30:C30"/>
    <mergeCell ref="D30:F30"/>
    <mergeCell ref="G30:I30"/>
    <mergeCell ref="J30:L30"/>
    <mergeCell ref="M30:O30"/>
    <mergeCell ref="P30:R30"/>
    <mergeCell ref="S30:U30"/>
    <mergeCell ref="V30:X30"/>
    <mergeCell ref="Y30:AA30"/>
    <mergeCell ref="S31:T31"/>
    <mergeCell ref="V31:X31"/>
    <mergeCell ref="Y31:AA31"/>
    <mergeCell ref="A32:C32"/>
    <mergeCell ref="D32:F32"/>
    <mergeCell ref="G32:H32"/>
    <mergeCell ref="J32:L32"/>
    <mergeCell ref="M32:N32"/>
    <mergeCell ref="P32:R32"/>
    <mergeCell ref="S32:T32"/>
    <mergeCell ref="A31:C31"/>
    <mergeCell ref="D31:F31"/>
    <mergeCell ref="G31:H31"/>
    <mergeCell ref="J31:L31"/>
    <mergeCell ref="M31:N31"/>
    <mergeCell ref="P31:R31"/>
    <mergeCell ref="V32:X32"/>
    <mergeCell ref="Y32:AA32"/>
    <mergeCell ref="A33:C33"/>
    <mergeCell ref="D33:F33"/>
    <mergeCell ref="G33:I33"/>
    <mergeCell ref="J33:L33"/>
    <mergeCell ref="M33:O33"/>
    <mergeCell ref="P33:R33"/>
    <mergeCell ref="S33:U33"/>
    <mergeCell ref="V33:X33"/>
    <mergeCell ref="Y33:AA33"/>
    <mergeCell ref="A34:C34"/>
    <mergeCell ref="D34:F34"/>
    <mergeCell ref="G34:H34"/>
    <mergeCell ref="J34:L34"/>
    <mergeCell ref="M34:N34"/>
    <mergeCell ref="P34:R34"/>
    <mergeCell ref="S34:T34"/>
    <mergeCell ref="V34:X34"/>
    <mergeCell ref="Y34:Z34"/>
    <mergeCell ref="S35:U35"/>
    <mergeCell ref="V35:X35"/>
    <mergeCell ref="Y35:AA35"/>
    <mergeCell ref="A36:C36"/>
    <mergeCell ref="D36:F36"/>
    <mergeCell ref="G36:I36"/>
    <mergeCell ref="J36:L36"/>
    <mergeCell ref="M36:O36"/>
    <mergeCell ref="P36:R36"/>
    <mergeCell ref="S36:U36"/>
    <mergeCell ref="A35:C35"/>
    <mergeCell ref="D35:F35"/>
    <mergeCell ref="G35:I35"/>
    <mergeCell ref="J35:L35"/>
    <mergeCell ref="M35:O35"/>
    <mergeCell ref="P35:R35"/>
    <mergeCell ref="V36:X36"/>
    <mergeCell ref="Y36:AA36"/>
    <mergeCell ref="A37:C37"/>
    <mergeCell ref="D37:F37"/>
    <mergeCell ref="G37:I37"/>
    <mergeCell ref="J37:L37"/>
    <mergeCell ref="M37:O37"/>
    <mergeCell ref="P37:R37"/>
    <mergeCell ref="S37:U37"/>
    <mergeCell ref="V37:X37"/>
    <mergeCell ref="Y37:Z37"/>
    <mergeCell ref="A38:C38"/>
    <mergeCell ref="D38:F38"/>
    <mergeCell ref="G38:I38"/>
    <mergeCell ref="J38:L38"/>
    <mergeCell ref="M38:O38"/>
    <mergeCell ref="P38:R38"/>
    <mergeCell ref="S38:U38"/>
    <mergeCell ref="V38:X38"/>
    <mergeCell ref="Y38:Z38"/>
    <mergeCell ref="S39:U39"/>
    <mergeCell ref="V39:X39"/>
    <mergeCell ref="Y39:Z39"/>
    <mergeCell ref="A40:C40"/>
    <mergeCell ref="D40:F40"/>
    <mergeCell ref="G40:I40"/>
    <mergeCell ref="J40:L40"/>
    <mergeCell ref="M40:O40"/>
    <mergeCell ref="P40:R40"/>
    <mergeCell ref="S40:U40"/>
    <mergeCell ref="A39:C39"/>
    <mergeCell ref="D39:F39"/>
    <mergeCell ref="G39:I39"/>
    <mergeCell ref="J39:L39"/>
    <mergeCell ref="M39:O39"/>
    <mergeCell ref="P39:R39"/>
    <mergeCell ref="Y42:AA42"/>
    <mergeCell ref="A43:C43"/>
    <mergeCell ref="D43:F43"/>
    <mergeCell ref="J43:L43"/>
    <mergeCell ref="P43:R43"/>
    <mergeCell ref="V43:X43"/>
    <mergeCell ref="V40:X40"/>
    <mergeCell ref="A42:C42"/>
    <mergeCell ref="D42:F42"/>
    <mergeCell ref="G42:I42"/>
    <mergeCell ref="J42:L42"/>
    <mergeCell ref="M42:O42"/>
    <mergeCell ref="P42:R42"/>
    <mergeCell ref="S42:U42"/>
    <mergeCell ref="V42:X42"/>
    <mergeCell ref="S44:T44"/>
    <mergeCell ref="V44:X44"/>
    <mergeCell ref="Y44:Z44"/>
    <mergeCell ref="A45:C45"/>
    <mergeCell ref="D45:F45"/>
    <mergeCell ref="G45:H45"/>
    <mergeCell ref="J45:L45"/>
    <mergeCell ref="M45:N45"/>
    <mergeCell ref="P45:R45"/>
    <mergeCell ref="S45:T45"/>
    <mergeCell ref="A44:C44"/>
    <mergeCell ref="D44:F44"/>
    <mergeCell ref="G44:H44"/>
    <mergeCell ref="J44:L44"/>
    <mergeCell ref="M44:N44"/>
    <mergeCell ref="P44:R44"/>
    <mergeCell ref="V45:X45"/>
    <mergeCell ref="Y45:Z45"/>
    <mergeCell ref="A46:C46"/>
    <mergeCell ref="D46:F46"/>
    <mergeCell ref="G46:H46"/>
    <mergeCell ref="J46:L46"/>
    <mergeCell ref="M46:N46"/>
    <mergeCell ref="P46:R46"/>
    <mergeCell ref="S46:T46"/>
    <mergeCell ref="V46:X46"/>
    <mergeCell ref="Y46:AA46"/>
    <mergeCell ref="A48:C48"/>
    <mergeCell ref="D48:F48"/>
    <mergeCell ref="G48:I48"/>
    <mergeCell ref="J48:L48"/>
    <mergeCell ref="M48:O48"/>
    <mergeCell ref="P48:R48"/>
    <mergeCell ref="S48:U48"/>
    <mergeCell ref="V48:X48"/>
    <mergeCell ref="Y48:AA48"/>
    <mergeCell ref="S49:T49"/>
    <mergeCell ref="V49:X49"/>
    <mergeCell ref="Y49:AA49"/>
    <mergeCell ref="A50:C50"/>
    <mergeCell ref="D50:F50"/>
    <mergeCell ref="G50:H50"/>
    <mergeCell ref="J50:L50"/>
    <mergeCell ref="M50:N50"/>
    <mergeCell ref="P50:R50"/>
    <mergeCell ref="S50:T50"/>
    <mergeCell ref="A49:C49"/>
    <mergeCell ref="D49:F49"/>
    <mergeCell ref="G49:H49"/>
    <mergeCell ref="J49:L49"/>
    <mergeCell ref="M49:N49"/>
    <mergeCell ref="P49:R49"/>
    <mergeCell ref="V50:X50"/>
    <mergeCell ref="Y50:AA50"/>
    <mergeCell ref="A51:C51"/>
    <mergeCell ref="D51:F51"/>
    <mergeCell ref="G51:I51"/>
    <mergeCell ref="J51:L51"/>
    <mergeCell ref="M51:O51"/>
    <mergeCell ref="P51:R51"/>
    <mergeCell ref="S51:U51"/>
    <mergeCell ref="V51:X51"/>
    <mergeCell ref="Y51:AA51"/>
    <mergeCell ref="A52:C52"/>
    <mergeCell ref="D52:F52"/>
    <mergeCell ref="G52:H52"/>
    <mergeCell ref="J52:L52"/>
    <mergeCell ref="M52:N52"/>
    <mergeCell ref="P52:R52"/>
    <mergeCell ref="S52:T52"/>
    <mergeCell ref="V52:X52"/>
    <mergeCell ref="Y52:Z52"/>
    <mergeCell ref="S53:U53"/>
    <mergeCell ref="V53:X53"/>
    <mergeCell ref="Y53:AA53"/>
    <mergeCell ref="A54:C54"/>
    <mergeCell ref="D54:F54"/>
    <mergeCell ref="G54:I54"/>
    <mergeCell ref="J54:L54"/>
    <mergeCell ref="M54:O54"/>
    <mergeCell ref="P54:R54"/>
    <mergeCell ref="S54:U54"/>
    <mergeCell ref="A53:C53"/>
    <mergeCell ref="D53:F53"/>
    <mergeCell ref="G53:I53"/>
    <mergeCell ref="J53:L53"/>
    <mergeCell ref="M53:O53"/>
    <mergeCell ref="P53:R53"/>
    <mergeCell ref="V54:X54"/>
    <mergeCell ref="Y54:AA54"/>
    <mergeCell ref="A55:C55"/>
    <mergeCell ref="D55:F55"/>
    <mergeCell ref="G55:I55"/>
    <mergeCell ref="J55:L55"/>
    <mergeCell ref="M55:O55"/>
    <mergeCell ref="P55:R55"/>
    <mergeCell ref="S55:U55"/>
    <mergeCell ref="V55:X55"/>
    <mergeCell ref="Y55:Z55"/>
    <mergeCell ref="A56:C56"/>
    <mergeCell ref="D56:F56"/>
    <mergeCell ref="G56:I56"/>
    <mergeCell ref="J56:L56"/>
    <mergeCell ref="M56:O56"/>
    <mergeCell ref="P56:R56"/>
    <mergeCell ref="S56:U56"/>
    <mergeCell ref="V56:X56"/>
    <mergeCell ref="Y56:Z56"/>
    <mergeCell ref="S57:U57"/>
    <mergeCell ref="V57:X57"/>
    <mergeCell ref="Y57:Z57"/>
    <mergeCell ref="A58:C58"/>
    <mergeCell ref="D58:F58"/>
    <mergeCell ref="G58:I58"/>
    <mergeCell ref="J58:L58"/>
    <mergeCell ref="M58:O58"/>
    <mergeCell ref="P58:R58"/>
    <mergeCell ref="S58:U58"/>
    <mergeCell ref="A57:C57"/>
    <mergeCell ref="D57:F57"/>
    <mergeCell ref="G57:I57"/>
    <mergeCell ref="J57:L57"/>
    <mergeCell ref="M57:O57"/>
    <mergeCell ref="P57:R57"/>
    <mergeCell ref="A62:C62"/>
    <mergeCell ref="D62:F62"/>
    <mergeCell ref="G62:I62"/>
    <mergeCell ref="J62:L62"/>
    <mergeCell ref="M62:O62"/>
    <mergeCell ref="P62:R62"/>
    <mergeCell ref="V58:X58"/>
    <mergeCell ref="A61:C61"/>
    <mergeCell ref="D61:F61"/>
    <mergeCell ref="G61:I61"/>
    <mergeCell ref="J61:L61"/>
    <mergeCell ref="M61:O61"/>
    <mergeCell ref="P61:R61"/>
    <mergeCell ref="P64:Q64"/>
    <mergeCell ref="A65:C65"/>
    <mergeCell ref="D65:E65"/>
    <mergeCell ref="G65:I65"/>
    <mergeCell ref="J65:K65"/>
    <mergeCell ref="M65:O65"/>
    <mergeCell ref="P65:Q65"/>
    <mergeCell ref="A63:C63"/>
    <mergeCell ref="G63:I63"/>
    <mergeCell ref="M63:O63"/>
    <mergeCell ref="A64:C64"/>
    <mergeCell ref="D64:E64"/>
    <mergeCell ref="G64:I64"/>
    <mergeCell ref="J64:K64"/>
    <mergeCell ref="M64:O64"/>
    <mergeCell ref="P67:R67"/>
    <mergeCell ref="A68:C68"/>
    <mergeCell ref="D68:F68"/>
    <mergeCell ref="G68:I68"/>
    <mergeCell ref="J68:L68"/>
    <mergeCell ref="M68:O68"/>
    <mergeCell ref="P68:R68"/>
    <mergeCell ref="A66:C66"/>
    <mergeCell ref="G66:I66"/>
    <mergeCell ref="M66:O66"/>
    <mergeCell ref="A67:C67"/>
    <mergeCell ref="D67:F67"/>
    <mergeCell ref="G67:I67"/>
    <mergeCell ref="J67:L67"/>
    <mergeCell ref="M67:O67"/>
    <mergeCell ref="P70:Q70"/>
    <mergeCell ref="A71:C71"/>
    <mergeCell ref="D71:E71"/>
    <mergeCell ref="G71:I71"/>
    <mergeCell ref="J71:K71"/>
    <mergeCell ref="M71:O71"/>
    <mergeCell ref="P71:Q71"/>
    <mergeCell ref="A69:C69"/>
    <mergeCell ref="G69:I69"/>
    <mergeCell ref="M69:O69"/>
    <mergeCell ref="A70:C70"/>
    <mergeCell ref="D70:E70"/>
    <mergeCell ref="G70:I70"/>
    <mergeCell ref="J70:K70"/>
    <mergeCell ref="M70:O70"/>
    <mergeCell ref="P73:R73"/>
    <mergeCell ref="A74:C74"/>
    <mergeCell ref="D74:F74"/>
    <mergeCell ref="G74:I74"/>
    <mergeCell ref="J74:L74"/>
    <mergeCell ref="M74:O74"/>
    <mergeCell ref="P74:R74"/>
    <mergeCell ref="A72:C72"/>
    <mergeCell ref="G72:I72"/>
    <mergeCell ref="M72:O72"/>
    <mergeCell ref="A73:C73"/>
    <mergeCell ref="D73:F73"/>
    <mergeCell ref="G73:I73"/>
    <mergeCell ref="J73:L73"/>
    <mergeCell ref="M73:O73"/>
    <mergeCell ref="P76:Q76"/>
    <mergeCell ref="A77:C77"/>
    <mergeCell ref="D77:E77"/>
    <mergeCell ref="G77:I77"/>
    <mergeCell ref="J77:K77"/>
    <mergeCell ref="M77:O77"/>
    <mergeCell ref="P77:Q77"/>
    <mergeCell ref="A75:C75"/>
    <mergeCell ref="G75:I75"/>
    <mergeCell ref="M75:O75"/>
    <mergeCell ref="A76:C76"/>
    <mergeCell ref="D76:E76"/>
    <mergeCell ref="G76:I76"/>
    <mergeCell ref="J76:K76"/>
    <mergeCell ref="M76:O76"/>
    <mergeCell ref="P79:R79"/>
    <mergeCell ref="A80:C80"/>
    <mergeCell ref="D80:F80"/>
    <mergeCell ref="G80:I80"/>
    <mergeCell ref="J80:L80"/>
    <mergeCell ref="M80:O80"/>
    <mergeCell ref="P80:R80"/>
    <mergeCell ref="A78:C78"/>
    <mergeCell ref="G78:I78"/>
    <mergeCell ref="M78:O78"/>
    <mergeCell ref="A79:C79"/>
    <mergeCell ref="D79:F79"/>
    <mergeCell ref="G79:I79"/>
    <mergeCell ref="J79:L79"/>
    <mergeCell ref="M79:O79"/>
    <mergeCell ref="P82:Q82"/>
    <mergeCell ref="A83:C83"/>
    <mergeCell ref="D83:E83"/>
    <mergeCell ref="G83:I83"/>
    <mergeCell ref="J83:K83"/>
    <mergeCell ref="M83:O83"/>
    <mergeCell ref="P83:Q83"/>
    <mergeCell ref="A81:C81"/>
    <mergeCell ref="G81:I81"/>
    <mergeCell ref="M81:O81"/>
    <mergeCell ref="A82:C82"/>
    <mergeCell ref="D82:E82"/>
    <mergeCell ref="G82:I82"/>
    <mergeCell ref="J82:K82"/>
    <mergeCell ref="M82:O82"/>
    <mergeCell ref="P85:R85"/>
    <mergeCell ref="A86:C86"/>
    <mergeCell ref="D86:F86"/>
    <mergeCell ref="G86:I86"/>
    <mergeCell ref="J86:L86"/>
    <mergeCell ref="M86:O86"/>
    <mergeCell ref="P86:R86"/>
    <mergeCell ref="A84:C84"/>
    <mergeCell ref="G84:I84"/>
    <mergeCell ref="M84:O84"/>
    <mergeCell ref="A85:C85"/>
    <mergeCell ref="D85:F85"/>
    <mergeCell ref="G85:I85"/>
    <mergeCell ref="J85:L85"/>
    <mergeCell ref="M85:O85"/>
    <mergeCell ref="P88:Q88"/>
    <mergeCell ref="A89:C89"/>
    <mergeCell ref="D89:E89"/>
    <mergeCell ref="G89:I89"/>
    <mergeCell ref="J89:K89"/>
    <mergeCell ref="M89:O89"/>
    <mergeCell ref="P89:Q89"/>
    <mergeCell ref="A87:C87"/>
    <mergeCell ref="G87:I87"/>
    <mergeCell ref="M87:O87"/>
    <mergeCell ref="A88:C88"/>
    <mergeCell ref="D88:E88"/>
    <mergeCell ref="G88:I88"/>
    <mergeCell ref="J88:K88"/>
    <mergeCell ref="M88:O88"/>
    <mergeCell ref="A91:C91"/>
    <mergeCell ref="D91:E91"/>
    <mergeCell ref="G91:I91"/>
    <mergeCell ref="J91:K91"/>
    <mergeCell ref="M91:O91"/>
    <mergeCell ref="P91:Q91"/>
    <mergeCell ref="A90:C90"/>
    <mergeCell ref="D90:E90"/>
    <mergeCell ref="G90:I90"/>
    <mergeCell ref="J90:K90"/>
    <mergeCell ref="M90:O90"/>
    <mergeCell ref="P90:Q90"/>
    <mergeCell ref="A93:C93"/>
    <mergeCell ref="G93:I93"/>
    <mergeCell ref="M93:O93"/>
    <mergeCell ref="A92:C92"/>
    <mergeCell ref="D92:E92"/>
    <mergeCell ref="G92:I92"/>
    <mergeCell ref="J92:K92"/>
    <mergeCell ref="M92:O92"/>
    <mergeCell ref="P92:Q9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D389F-597F-42E4-9505-105AF6357F00}">
  <dimension ref="A1:AJ47"/>
  <sheetViews>
    <sheetView topLeftCell="P4" zoomScale="55" zoomScaleNormal="55" workbookViewId="0">
      <selection activeCell="V2" sqref="V2"/>
    </sheetView>
  </sheetViews>
  <sheetFormatPr defaultRowHeight="14.25" x14ac:dyDescent="0.45"/>
  <cols>
    <col min="1" max="1" width="9.06640625" customWidth="1"/>
    <col min="19" max="19" width="65.796875" customWidth="1"/>
  </cols>
  <sheetData>
    <row r="1" spans="1:36" ht="25.5" x14ac:dyDescent="0.45">
      <c r="A1" s="88" t="s">
        <v>232</v>
      </c>
    </row>
    <row r="2" spans="1:36" ht="76.5" x14ac:dyDescent="0.45">
      <c r="A2" s="88" t="s">
        <v>233</v>
      </c>
    </row>
    <row r="3" spans="1:36" x14ac:dyDescent="0.45">
      <c r="A3" s="89"/>
      <c r="B3" s="89"/>
      <c r="C3" s="89"/>
      <c r="D3" s="89"/>
      <c r="E3" s="89"/>
      <c r="F3" s="89"/>
      <c r="G3" s="89"/>
      <c r="H3" s="89"/>
      <c r="I3" s="89"/>
      <c r="J3" s="89"/>
      <c r="K3" s="89"/>
      <c r="L3" s="89"/>
      <c r="M3" s="89"/>
      <c r="N3" s="89"/>
      <c r="O3" s="89"/>
      <c r="P3" s="89"/>
      <c r="Q3" s="89"/>
      <c r="R3" s="89"/>
    </row>
    <row r="4" spans="1:36" ht="15" thickBot="1" x14ac:dyDescent="0.5">
      <c r="A4" s="246"/>
      <c r="B4" s="246"/>
      <c r="C4" s="246"/>
      <c r="D4" s="247" t="s">
        <v>234</v>
      </c>
      <c r="E4" s="247"/>
      <c r="F4" s="247"/>
      <c r="G4" s="247"/>
      <c r="H4" s="247"/>
      <c r="I4" s="247"/>
      <c r="J4" s="247"/>
      <c r="K4" s="247"/>
      <c r="L4" s="247"/>
      <c r="M4" s="247"/>
      <c r="N4" s="247"/>
      <c r="O4" s="247"/>
      <c r="P4" s="247"/>
      <c r="Q4" s="247"/>
      <c r="R4" s="247"/>
    </row>
    <row r="5" spans="1:36" ht="26.25" customHeight="1" thickBot="1" x14ac:dyDescent="0.5">
      <c r="A5" s="248" t="s">
        <v>235</v>
      </c>
      <c r="B5" s="248"/>
      <c r="C5" s="248"/>
      <c r="D5" s="249">
        <v>2025</v>
      </c>
      <c r="E5" s="249"/>
      <c r="F5" s="249"/>
      <c r="G5" s="245"/>
      <c r="H5" s="245"/>
      <c r="I5" s="245"/>
      <c r="J5" s="249">
        <v>2024</v>
      </c>
      <c r="K5" s="249"/>
      <c r="L5" s="249"/>
      <c r="M5" s="245"/>
      <c r="N5" s="245"/>
      <c r="O5" s="245"/>
      <c r="P5" s="249">
        <v>2023</v>
      </c>
      <c r="Q5" s="249"/>
      <c r="R5" s="249"/>
      <c r="S5" s="88" t="s">
        <v>232</v>
      </c>
    </row>
    <row r="6" spans="1:36" ht="76.5" x14ac:dyDescent="0.45">
      <c r="A6" s="244" t="s">
        <v>236</v>
      </c>
      <c r="B6" s="244"/>
      <c r="C6" s="244"/>
      <c r="D6" s="245"/>
      <c r="E6" s="245"/>
      <c r="F6" s="245"/>
      <c r="G6" s="246"/>
      <c r="H6" s="246"/>
      <c r="I6" s="246"/>
      <c r="J6" s="245"/>
      <c r="K6" s="245"/>
      <c r="L6" s="245"/>
      <c r="M6" s="246"/>
      <c r="N6" s="246"/>
      <c r="O6" s="246"/>
      <c r="P6" s="245"/>
      <c r="Q6" s="245"/>
      <c r="R6" s="245"/>
      <c r="S6" s="88" t="s">
        <v>233</v>
      </c>
    </row>
    <row r="7" spans="1:36" x14ac:dyDescent="0.45">
      <c r="A7" s="254" t="s">
        <v>63</v>
      </c>
      <c r="B7" s="254"/>
      <c r="C7" s="254"/>
      <c r="D7" s="90" t="s">
        <v>64</v>
      </c>
      <c r="E7" s="91" t="s">
        <v>69</v>
      </c>
      <c r="F7" s="92"/>
      <c r="G7" s="253"/>
      <c r="H7" s="253"/>
      <c r="I7" s="253"/>
      <c r="J7" s="90" t="s">
        <v>64</v>
      </c>
      <c r="K7" s="91" t="s">
        <v>112</v>
      </c>
      <c r="L7" s="92"/>
      <c r="M7" s="253"/>
      <c r="N7" s="253"/>
      <c r="O7" s="253"/>
      <c r="P7" s="90" t="s">
        <v>64</v>
      </c>
      <c r="Q7" s="91" t="s">
        <v>140</v>
      </c>
      <c r="R7" s="92"/>
      <c r="S7" s="89"/>
      <c r="T7" s="89"/>
      <c r="U7" s="89"/>
      <c r="V7" s="89"/>
      <c r="W7" s="89"/>
      <c r="X7" s="89"/>
      <c r="Y7" s="89"/>
      <c r="Z7" s="89"/>
      <c r="AA7" s="89"/>
      <c r="AB7" s="89"/>
      <c r="AC7" s="89"/>
      <c r="AD7" s="89"/>
      <c r="AE7" s="89"/>
      <c r="AF7" s="89"/>
      <c r="AG7" s="89"/>
      <c r="AH7" s="89"/>
      <c r="AI7" s="89"/>
      <c r="AJ7" s="89"/>
    </row>
    <row r="8" spans="1:36" ht="15" thickBot="1" x14ac:dyDescent="0.5">
      <c r="A8" s="255" t="s">
        <v>70</v>
      </c>
      <c r="B8" s="255"/>
      <c r="C8" s="255"/>
      <c r="D8" s="250" t="s">
        <v>75</v>
      </c>
      <c r="E8" s="250"/>
      <c r="F8" s="94"/>
      <c r="G8" s="256"/>
      <c r="H8" s="256"/>
      <c r="I8" s="256"/>
      <c r="J8" s="250" t="s">
        <v>116</v>
      </c>
      <c r="K8" s="250"/>
      <c r="L8" s="94"/>
      <c r="M8" s="256"/>
      <c r="N8" s="256"/>
      <c r="O8" s="256"/>
      <c r="P8" s="250" t="s">
        <v>144</v>
      </c>
      <c r="Q8" s="250"/>
      <c r="R8" s="94"/>
      <c r="S8" s="246"/>
      <c r="T8" s="246"/>
      <c r="U8" s="246"/>
      <c r="V8" s="247" t="s">
        <v>234</v>
      </c>
      <c r="W8" s="247"/>
      <c r="X8" s="247"/>
      <c r="Y8" s="247"/>
      <c r="Z8" s="247"/>
      <c r="AA8" s="247"/>
      <c r="AB8" s="247"/>
      <c r="AC8" s="247"/>
      <c r="AD8" s="247"/>
      <c r="AE8" s="247"/>
      <c r="AF8" s="247"/>
      <c r="AG8" s="247"/>
      <c r="AH8" s="247"/>
      <c r="AI8" s="247"/>
      <c r="AJ8" s="247"/>
    </row>
    <row r="9" spans="1:36" ht="26.25" customHeight="1" thickBot="1" x14ac:dyDescent="0.5">
      <c r="A9" s="251" t="s">
        <v>76</v>
      </c>
      <c r="B9" s="251"/>
      <c r="C9" s="251"/>
      <c r="D9" s="252" t="s">
        <v>80</v>
      </c>
      <c r="E9" s="252"/>
      <c r="F9" s="96"/>
      <c r="G9" s="253"/>
      <c r="H9" s="253"/>
      <c r="I9" s="253"/>
      <c r="J9" s="252" t="s">
        <v>120</v>
      </c>
      <c r="K9" s="252"/>
      <c r="L9" s="96"/>
      <c r="M9" s="253"/>
      <c r="N9" s="253"/>
      <c r="O9" s="253"/>
      <c r="P9" s="252" t="s">
        <v>148</v>
      </c>
      <c r="Q9" s="252"/>
      <c r="R9" s="96"/>
      <c r="S9" s="248" t="s">
        <v>235</v>
      </c>
      <c r="T9" s="248"/>
      <c r="U9" s="248"/>
      <c r="V9" s="249">
        <v>2023</v>
      </c>
      <c r="W9" s="249"/>
      <c r="X9" s="249"/>
      <c r="Y9" s="245"/>
      <c r="Z9" s="245"/>
      <c r="AA9" s="245"/>
      <c r="AB9" s="249">
        <v>2022</v>
      </c>
      <c r="AC9" s="249"/>
      <c r="AD9" s="249"/>
      <c r="AE9" s="245"/>
      <c r="AF9" s="245"/>
      <c r="AG9" s="245"/>
      <c r="AH9" s="249">
        <v>2021</v>
      </c>
      <c r="AI9" s="249"/>
      <c r="AJ9" s="249"/>
    </row>
    <row r="10" spans="1:36" x14ac:dyDescent="0.45">
      <c r="A10" s="258" t="s">
        <v>237</v>
      </c>
      <c r="B10" s="258"/>
      <c r="C10" s="258"/>
      <c r="D10" s="259"/>
      <c r="E10" s="259"/>
      <c r="F10" s="259"/>
      <c r="G10" s="256"/>
      <c r="H10" s="256"/>
      <c r="I10" s="256"/>
      <c r="J10" s="259"/>
      <c r="K10" s="259"/>
      <c r="L10" s="259"/>
      <c r="M10" s="256"/>
      <c r="N10" s="256"/>
      <c r="O10" s="256"/>
      <c r="P10" s="259"/>
      <c r="Q10" s="259"/>
      <c r="R10" s="259"/>
      <c r="S10" s="244" t="s">
        <v>236</v>
      </c>
      <c r="T10" s="244"/>
      <c r="U10" s="244"/>
      <c r="V10" s="245"/>
      <c r="W10" s="245"/>
      <c r="X10" s="245"/>
      <c r="Y10" s="246"/>
      <c r="Z10" s="246"/>
      <c r="AA10" s="246"/>
      <c r="AB10" s="245"/>
      <c r="AC10" s="245"/>
      <c r="AD10" s="245"/>
      <c r="AE10" s="246"/>
      <c r="AF10" s="246"/>
      <c r="AG10" s="246"/>
      <c r="AH10" s="245"/>
      <c r="AI10" s="245"/>
      <c r="AJ10" s="245"/>
    </row>
    <row r="11" spans="1:36" x14ac:dyDescent="0.45">
      <c r="A11" s="254" t="s">
        <v>238</v>
      </c>
      <c r="B11" s="254"/>
      <c r="C11" s="254"/>
      <c r="D11" s="257" t="s">
        <v>239</v>
      </c>
      <c r="E11" s="257"/>
      <c r="F11" s="92"/>
      <c r="G11" s="253"/>
      <c r="H11" s="253"/>
      <c r="I11" s="253"/>
      <c r="J11" s="257" t="s">
        <v>240</v>
      </c>
      <c r="K11" s="257"/>
      <c r="L11" s="92"/>
      <c r="M11" s="253"/>
      <c r="N11" s="253"/>
      <c r="O11" s="253"/>
      <c r="P11" s="257" t="s">
        <v>241</v>
      </c>
      <c r="Q11" s="257"/>
      <c r="R11" s="92"/>
      <c r="S11" s="254" t="s">
        <v>63</v>
      </c>
      <c r="T11" s="254"/>
      <c r="U11" s="254"/>
      <c r="V11" s="90" t="s">
        <v>64</v>
      </c>
      <c r="W11" s="91" t="s">
        <v>140</v>
      </c>
      <c r="X11" s="92"/>
      <c r="Y11" s="253"/>
      <c r="Z11" s="253"/>
      <c r="AA11" s="253"/>
      <c r="AB11" s="90" t="s">
        <v>64</v>
      </c>
      <c r="AC11" s="91" t="s">
        <v>170</v>
      </c>
      <c r="AD11" s="92"/>
      <c r="AE11" s="253"/>
      <c r="AF11" s="253"/>
      <c r="AG11" s="253"/>
      <c r="AH11" s="90" t="s">
        <v>64</v>
      </c>
      <c r="AI11" s="91" t="s">
        <v>171</v>
      </c>
      <c r="AJ11" s="92"/>
    </row>
    <row r="12" spans="1:36" ht="14.65" thickBot="1" x14ac:dyDescent="0.5">
      <c r="A12" s="255" t="s">
        <v>242</v>
      </c>
      <c r="B12" s="255"/>
      <c r="C12" s="255"/>
      <c r="D12" s="250" t="s">
        <v>243</v>
      </c>
      <c r="E12" s="250"/>
      <c r="F12" s="94"/>
      <c r="G12" s="256"/>
      <c r="H12" s="256"/>
      <c r="I12" s="256"/>
      <c r="J12" s="250" t="s">
        <v>244</v>
      </c>
      <c r="K12" s="250"/>
      <c r="L12" s="94"/>
      <c r="M12" s="256"/>
      <c r="N12" s="256"/>
      <c r="O12" s="256"/>
      <c r="P12" s="250" t="s">
        <v>245</v>
      </c>
      <c r="Q12" s="250"/>
      <c r="R12" s="94"/>
      <c r="S12" s="255" t="s">
        <v>70</v>
      </c>
      <c r="T12" s="255"/>
      <c r="U12" s="255"/>
      <c r="V12" s="250" t="s">
        <v>144</v>
      </c>
      <c r="W12" s="250"/>
      <c r="X12" s="94"/>
      <c r="Y12" s="256"/>
      <c r="Z12" s="256"/>
      <c r="AA12" s="256"/>
      <c r="AB12" s="250" t="s">
        <v>178</v>
      </c>
      <c r="AC12" s="250"/>
      <c r="AD12" s="94"/>
      <c r="AE12" s="256"/>
      <c r="AF12" s="256"/>
      <c r="AG12" s="256"/>
      <c r="AH12" s="250" t="s">
        <v>179</v>
      </c>
      <c r="AI12" s="250"/>
      <c r="AJ12" s="94"/>
    </row>
    <row r="13" spans="1:36" ht="14.65" thickBot="1" x14ac:dyDescent="0.5">
      <c r="A13" s="251" t="s">
        <v>246</v>
      </c>
      <c r="B13" s="251"/>
      <c r="C13" s="251"/>
      <c r="D13" s="252" t="s">
        <v>247</v>
      </c>
      <c r="E13" s="252"/>
      <c r="F13" s="96"/>
      <c r="G13" s="253"/>
      <c r="H13" s="253"/>
      <c r="I13" s="253"/>
      <c r="J13" s="252" t="s">
        <v>248</v>
      </c>
      <c r="K13" s="252"/>
      <c r="L13" s="96"/>
      <c r="M13" s="253"/>
      <c r="N13" s="253"/>
      <c r="O13" s="253"/>
      <c r="P13" s="252" t="s">
        <v>249</v>
      </c>
      <c r="Q13" s="252"/>
      <c r="R13" s="96"/>
      <c r="S13" s="251" t="s">
        <v>76</v>
      </c>
      <c r="T13" s="251"/>
      <c r="U13" s="251"/>
      <c r="V13" s="252" t="s">
        <v>148</v>
      </c>
      <c r="W13" s="252"/>
      <c r="X13" s="96"/>
      <c r="Y13" s="253"/>
      <c r="Z13" s="253"/>
      <c r="AA13" s="253"/>
      <c r="AB13" s="252" t="s">
        <v>186</v>
      </c>
      <c r="AC13" s="252"/>
      <c r="AD13" s="96"/>
      <c r="AE13" s="253"/>
      <c r="AF13" s="253"/>
      <c r="AG13" s="253"/>
      <c r="AH13" s="252" t="s">
        <v>187</v>
      </c>
      <c r="AI13" s="252"/>
      <c r="AJ13" s="96"/>
    </row>
    <row r="14" spans="1:36" x14ac:dyDescent="0.45">
      <c r="A14" s="258" t="s">
        <v>188</v>
      </c>
      <c r="B14" s="258"/>
      <c r="C14" s="258"/>
      <c r="D14" s="260" t="s">
        <v>250</v>
      </c>
      <c r="E14" s="260"/>
      <c r="F14" s="98"/>
      <c r="G14" s="256"/>
      <c r="H14" s="256"/>
      <c r="I14" s="256"/>
      <c r="J14" s="260" t="s">
        <v>251</v>
      </c>
      <c r="K14" s="260"/>
      <c r="L14" s="98"/>
      <c r="M14" s="256"/>
      <c r="N14" s="256"/>
      <c r="O14" s="256"/>
      <c r="P14" s="260" t="s">
        <v>198</v>
      </c>
      <c r="Q14" s="260"/>
      <c r="R14" s="98"/>
      <c r="S14" s="258" t="s">
        <v>237</v>
      </c>
      <c r="T14" s="258"/>
      <c r="U14" s="258"/>
      <c r="V14" s="259"/>
      <c r="W14" s="259"/>
      <c r="X14" s="259"/>
      <c r="Y14" s="256"/>
      <c r="Z14" s="256"/>
      <c r="AA14" s="256"/>
      <c r="AB14" s="259"/>
      <c r="AC14" s="259"/>
      <c r="AD14" s="259"/>
      <c r="AE14" s="256"/>
      <c r="AF14" s="256"/>
      <c r="AG14" s="256"/>
      <c r="AH14" s="259"/>
      <c r="AI14" s="259"/>
      <c r="AJ14" s="259"/>
    </row>
    <row r="15" spans="1:36" x14ac:dyDescent="0.45">
      <c r="A15" s="253"/>
      <c r="B15" s="253"/>
      <c r="C15" s="253"/>
      <c r="D15" s="253"/>
      <c r="E15" s="253"/>
      <c r="F15" s="253"/>
      <c r="G15" s="253"/>
      <c r="H15" s="253"/>
      <c r="I15" s="253"/>
      <c r="J15" s="253"/>
      <c r="K15" s="253"/>
      <c r="L15" s="253"/>
      <c r="M15" s="253"/>
      <c r="N15" s="253"/>
      <c r="O15" s="253"/>
      <c r="P15" s="253"/>
      <c r="Q15" s="253"/>
      <c r="R15" s="253"/>
      <c r="S15" s="254" t="s">
        <v>238</v>
      </c>
      <c r="T15" s="254"/>
      <c r="U15" s="254"/>
      <c r="V15" s="257" t="s">
        <v>241</v>
      </c>
      <c r="W15" s="257"/>
      <c r="X15" s="92"/>
      <c r="Y15" s="253"/>
      <c r="Z15" s="253"/>
      <c r="AA15" s="253"/>
      <c r="AB15" s="257" t="s">
        <v>319</v>
      </c>
      <c r="AC15" s="257"/>
      <c r="AD15" s="92"/>
      <c r="AE15" s="253"/>
      <c r="AF15" s="253"/>
      <c r="AG15" s="253"/>
      <c r="AH15" s="257" t="s">
        <v>320</v>
      </c>
      <c r="AI15" s="257"/>
      <c r="AJ15" s="92"/>
    </row>
    <row r="16" spans="1:36" ht="14.65" thickBot="1" x14ac:dyDescent="0.5">
      <c r="A16" s="258" t="s">
        <v>252</v>
      </c>
      <c r="B16" s="258"/>
      <c r="C16" s="258"/>
      <c r="D16" s="256"/>
      <c r="E16" s="256"/>
      <c r="F16" s="256"/>
      <c r="G16" s="256"/>
      <c r="H16" s="256"/>
      <c r="I16" s="256"/>
      <c r="J16" s="256"/>
      <c r="K16" s="256"/>
      <c r="L16" s="256"/>
      <c r="M16" s="256"/>
      <c r="N16" s="256"/>
      <c r="O16" s="256"/>
      <c r="P16" s="256"/>
      <c r="Q16" s="256"/>
      <c r="R16" s="256"/>
      <c r="S16" s="255" t="s">
        <v>242</v>
      </c>
      <c r="T16" s="255"/>
      <c r="U16" s="255"/>
      <c r="V16" s="250" t="s">
        <v>245</v>
      </c>
      <c r="W16" s="250"/>
      <c r="X16" s="94"/>
      <c r="Y16" s="256"/>
      <c r="Z16" s="256"/>
      <c r="AA16" s="256"/>
      <c r="AB16" s="250" t="s">
        <v>321</v>
      </c>
      <c r="AC16" s="250"/>
      <c r="AD16" s="94"/>
      <c r="AE16" s="256"/>
      <c r="AF16" s="256"/>
      <c r="AG16" s="256"/>
      <c r="AH16" s="250" t="s">
        <v>322</v>
      </c>
      <c r="AI16" s="250"/>
      <c r="AJ16" s="94"/>
    </row>
    <row r="17" spans="1:36" ht="14.65" thickBot="1" x14ac:dyDescent="0.5">
      <c r="A17" s="261" t="s">
        <v>253</v>
      </c>
      <c r="B17" s="261"/>
      <c r="C17" s="261"/>
      <c r="D17" s="257" t="s">
        <v>254</v>
      </c>
      <c r="E17" s="257"/>
      <c r="F17" s="92"/>
      <c r="G17" s="253"/>
      <c r="H17" s="253"/>
      <c r="I17" s="253"/>
      <c r="J17" s="257" t="s">
        <v>255</v>
      </c>
      <c r="K17" s="257"/>
      <c r="L17" s="92"/>
      <c r="M17" s="253"/>
      <c r="N17" s="253"/>
      <c r="O17" s="253"/>
      <c r="P17" s="257" t="s">
        <v>256</v>
      </c>
      <c r="Q17" s="257"/>
      <c r="R17" s="92"/>
      <c r="S17" s="251" t="s">
        <v>246</v>
      </c>
      <c r="T17" s="251"/>
      <c r="U17" s="251"/>
      <c r="V17" s="252" t="s">
        <v>249</v>
      </c>
      <c r="W17" s="252"/>
      <c r="X17" s="96"/>
      <c r="Y17" s="253"/>
      <c r="Z17" s="253"/>
      <c r="AA17" s="253"/>
      <c r="AB17" s="252" t="s">
        <v>323</v>
      </c>
      <c r="AC17" s="252"/>
      <c r="AD17" s="96"/>
      <c r="AE17" s="253"/>
      <c r="AF17" s="253"/>
      <c r="AG17" s="253"/>
      <c r="AH17" s="252" t="s">
        <v>324</v>
      </c>
      <c r="AI17" s="252"/>
      <c r="AJ17" s="96"/>
    </row>
    <row r="18" spans="1:36" x14ac:dyDescent="0.45">
      <c r="A18" s="262" t="s">
        <v>257</v>
      </c>
      <c r="B18" s="262"/>
      <c r="C18" s="262"/>
      <c r="D18" s="263" t="s">
        <v>258</v>
      </c>
      <c r="E18" s="263"/>
      <c r="F18" s="94"/>
      <c r="G18" s="256"/>
      <c r="H18" s="256"/>
      <c r="I18" s="256"/>
      <c r="J18" s="263" t="s">
        <v>259</v>
      </c>
      <c r="K18" s="263"/>
      <c r="L18" s="94"/>
      <c r="M18" s="256"/>
      <c r="N18" s="256"/>
      <c r="O18" s="256"/>
      <c r="P18" s="263" t="s">
        <v>260</v>
      </c>
      <c r="Q18" s="263"/>
      <c r="R18" s="94"/>
      <c r="S18" s="258" t="s">
        <v>188</v>
      </c>
      <c r="T18" s="258"/>
      <c r="U18" s="258"/>
      <c r="V18" s="260" t="s">
        <v>198</v>
      </c>
      <c r="W18" s="260"/>
      <c r="X18" s="98"/>
      <c r="Y18" s="256"/>
      <c r="Z18" s="256"/>
      <c r="AA18" s="256"/>
      <c r="AB18" s="260" t="s">
        <v>199</v>
      </c>
      <c r="AC18" s="260"/>
      <c r="AD18" s="98"/>
      <c r="AE18" s="256"/>
      <c r="AF18" s="256"/>
      <c r="AG18" s="256"/>
      <c r="AH18" s="260" t="s">
        <v>200</v>
      </c>
      <c r="AI18" s="260"/>
      <c r="AJ18" s="98"/>
    </row>
    <row r="19" spans="1:36" x14ac:dyDescent="0.45">
      <c r="S19" s="253"/>
      <c r="T19" s="253"/>
      <c r="U19" s="253"/>
      <c r="V19" s="253"/>
      <c r="W19" s="253"/>
      <c r="X19" s="253"/>
      <c r="Y19" s="253"/>
      <c r="Z19" s="253"/>
      <c r="AA19" s="253"/>
      <c r="AB19" s="253"/>
      <c r="AC19" s="253"/>
      <c r="AD19" s="253"/>
      <c r="AE19" s="253"/>
      <c r="AF19" s="253"/>
      <c r="AG19" s="253"/>
      <c r="AH19" s="253"/>
      <c r="AI19" s="253"/>
      <c r="AJ19" s="253"/>
    </row>
    <row r="20" spans="1:36" x14ac:dyDescent="0.45">
      <c r="A20" s="261" t="s">
        <v>261</v>
      </c>
      <c r="B20" s="261"/>
      <c r="C20" s="261"/>
      <c r="D20" s="257" t="s">
        <v>262</v>
      </c>
      <c r="E20" s="257"/>
      <c r="F20" s="92"/>
      <c r="G20" s="253"/>
      <c r="H20" s="253"/>
      <c r="I20" s="253"/>
      <c r="J20" s="257" t="s">
        <v>263</v>
      </c>
      <c r="K20" s="257"/>
      <c r="L20" s="92"/>
      <c r="M20" s="253"/>
      <c r="N20" s="253"/>
      <c r="O20" s="253"/>
      <c r="P20" s="257" t="s">
        <v>264</v>
      </c>
      <c r="Q20" s="257"/>
      <c r="R20" s="92"/>
      <c r="S20" s="258" t="s">
        <v>252</v>
      </c>
      <c r="T20" s="258"/>
      <c r="U20" s="258"/>
      <c r="V20" s="256"/>
      <c r="W20" s="256"/>
      <c r="X20" s="256"/>
      <c r="Y20" s="256"/>
      <c r="Z20" s="256"/>
      <c r="AA20" s="256"/>
      <c r="AB20" s="256"/>
      <c r="AC20" s="256"/>
      <c r="AD20" s="256"/>
      <c r="AE20" s="256"/>
      <c r="AF20" s="256"/>
      <c r="AG20" s="256"/>
      <c r="AH20" s="256"/>
      <c r="AI20" s="256"/>
      <c r="AJ20" s="256"/>
    </row>
    <row r="21" spans="1:36" x14ac:dyDescent="0.45">
      <c r="A21" s="262" t="s">
        <v>265</v>
      </c>
      <c r="B21" s="262"/>
      <c r="C21" s="262"/>
      <c r="D21" s="263" t="s">
        <v>266</v>
      </c>
      <c r="E21" s="263"/>
      <c r="F21" s="94"/>
      <c r="G21" s="256"/>
      <c r="H21" s="256"/>
      <c r="I21" s="256"/>
      <c r="J21" s="263" t="s">
        <v>267</v>
      </c>
      <c r="K21" s="263"/>
      <c r="L21" s="94"/>
      <c r="M21" s="256"/>
      <c r="N21" s="256"/>
      <c r="O21" s="256"/>
      <c r="P21" s="263" t="s">
        <v>268</v>
      </c>
      <c r="Q21" s="263"/>
      <c r="R21" s="94"/>
      <c r="S21" s="261" t="s">
        <v>253</v>
      </c>
      <c r="T21" s="261"/>
      <c r="U21" s="261"/>
      <c r="V21" s="257" t="s">
        <v>256</v>
      </c>
      <c r="W21" s="257"/>
      <c r="X21" s="92"/>
      <c r="Y21" s="253"/>
      <c r="Z21" s="253"/>
      <c r="AA21" s="253"/>
      <c r="AB21" s="257" t="s">
        <v>325</v>
      </c>
      <c r="AC21" s="257"/>
      <c r="AD21" s="92"/>
      <c r="AE21" s="253"/>
      <c r="AF21" s="253"/>
      <c r="AG21" s="253"/>
      <c r="AH21" s="257" t="s">
        <v>326</v>
      </c>
      <c r="AI21" s="257"/>
      <c r="AJ21" s="92"/>
    </row>
    <row r="22" spans="1:36" x14ac:dyDescent="0.45">
      <c r="A22" s="264" t="s">
        <v>269</v>
      </c>
      <c r="B22" s="264"/>
      <c r="C22" s="264"/>
      <c r="D22" s="257" t="s">
        <v>270</v>
      </c>
      <c r="E22" s="257"/>
      <c r="F22" s="92"/>
      <c r="G22" s="253"/>
      <c r="H22" s="253"/>
      <c r="I22" s="253"/>
      <c r="J22" s="257" t="s">
        <v>271</v>
      </c>
      <c r="K22" s="257"/>
      <c r="L22" s="92"/>
      <c r="M22" s="253"/>
      <c r="N22" s="253"/>
      <c r="O22" s="253"/>
      <c r="P22" s="257" t="s">
        <v>272</v>
      </c>
      <c r="Q22" s="257"/>
      <c r="R22" s="92"/>
      <c r="S22" s="262" t="s">
        <v>257</v>
      </c>
      <c r="T22" s="262"/>
      <c r="U22" s="262"/>
      <c r="V22" s="263" t="s">
        <v>260</v>
      </c>
      <c r="W22" s="263"/>
      <c r="X22" s="94"/>
      <c r="Y22" s="256"/>
      <c r="Z22" s="256"/>
      <c r="AA22" s="256"/>
      <c r="AB22" s="263" t="s">
        <v>327</v>
      </c>
      <c r="AC22" s="263"/>
      <c r="AD22" s="94"/>
      <c r="AE22" s="256"/>
      <c r="AF22" s="256"/>
      <c r="AG22" s="256"/>
      <c r="AH22" s="263" t="s">
        <v>328</v>
      </c>
      <c r="AI22" s="263"/>
      <c r="AJ22" s="94"/>
    </row>
    <row r="23" spans="1:36" ht="14.65" thickBot="1" x14ac:dyDescent="0.5"/>
    <row r="24" spans="1:36" ht="14.65" thickBot="1" x14ac:dyDescent="0.5">
      <c r="A24" s="266" t="s">
        <v>273</v>
      </c>
      <c r="B24" s="266"/>
      <c r="C24" s="266"/>
      <c r="D24" s="267" t="s">
        <v>274</v>
      </c>
      <c r="E24" s="267"/>
      <c r="F24" s="98"/>
      <c r="G24" s="256"/>
      <c r="H24" s="256"/>
      <c r="I24" s="256"/>
      <c r="J24" s="267" t="s">
        <v>275</v>
      </c>
      <c r="K24" s="267"/>
      <c r="L24" s="98"/>
      <c r="M24" s="256"/>
      <c r="N24" s="256"/>
      <c r="O24" s="256"/>
      <c r="P24" s="267" t="s">
        <v>276</v>
      </c>
      <c r="Q24" s="267"/>
      <c r="R24" s="98"/>
      <c r="S24" s="261" t="s">
        <v>261</v>
      </c>
      <c r="T24" s="261"/>
      <c r="U24" s="261"/>
      <c r="V24" s="257" t="s">
        <v>264</v>
      </c>
      <c r="W24" s="257"/>
      <c r="X24" s="92"/>
      <c r="Y24" s="253"/>
      <c r="Z24" s="253"/>
      <c r="AA24" s="253"/>
      <c r="AB24" s="257" t="s">
        <v>329</v>
      </c>
      <c r="AC24" s="257"/>
      <c r="AD24" s="92"/>
      <c r="AE24" s="253"/>
      <c r="AF24" s="253"/>
      <c r="AG24" s="253"/>
      <c r="AH24" s="257" t="s">
        <v>330</v>
      </c>
      <c r="AI24" s="257"/>
      <c r="AJ24" s="92"/>
    </row>
    <row r="25" spans="1:36" x14ac:dyDescent="0.45">
      <c r="A25" s="253"/>
      <c r="B25" s="253"/>
      <c r="C25" s="253"/>
      <c r="D25" s="265"/>
      <c r="E25" s="265"/>
      <c r="F25" s="265"/>
      <c r="G25" s="253"/>
      <c r="H25" s="253"/>
      <c r="I25" s="253"/>
      <c r="J25" s="265"/>
      <c r="K25" s="265"/>
      <c r="L25" s="265"/>
      <c r="M25" s="253"/>
      <c r="N25" s="253"/>
      <c r="O25" s="253"/>
      <c r="P25" s="265"/>
      <c r="Q25" s="265"/>
      <c r="R25" s="265"/>
      <c r="S25" s="262" t="s">
        <v>265</v>
      </c>
      <c r="T25" s="262"/>
      <c r="U25" s="262"/>
      <c r="V25" s="263" t="s">
        <v>268</v>
      </c>
      <c r="W25" s="263"/>
      <c r="X25" s="94"/>
      <c r="Y25" s="256"/>
      <c r="Z25" s="256"/>
      <c r="AA25" s="256"/>
      <c r="AB25" s="278">
        <v>-13625</v>
      </c>
      <c r="AC25" s="278"/>
      <c r="AD25" s="94"/>
      <c r="AE25" s="256"/>
      <c r="AF25" s="256"/>
      <c r="AG25" s="256"/>
      <c r="AH25" s="263" t="s">
        <v>331</v>
      </c>
      <c r="AI25" s="263"/>
      <c r="AJ25" s="94"/>
    </row>
    <row r="26" spans="1:36" x14ac:dyDescent="0.45">
      <c r="A26" s="269" t="s">
        <v>277</v>
      </c>
      <c r="B26" s="269"/>
      <c r="C26" s="269"/>
      <c r="D26" s="263" t="s">
        <v>278</v>
      </c>
      <c r="E26" s="263"/>
      <c r="F26" s="94"/>
      <c r="G26" s="256"/>
      <c r="H26" s="256"/>
      <c r="I26" s="256"/>
      <c r="J26" s="263" t="s">
        <v>279</v>
      </c>
      <c r="K26" s="263"/>
      <c r="L26" s="94"/>
      <c r="M26" s="256"/>
      <c r="N26" s="256"/>
      <c r="O26" s="256"/>
      <c r="P26" s="263" t="s">
        <v>209</v>
      </c>
      <c r="Q26" s="263"/>
      <c r="R26" s="94"/>
      <c r="S26" s="261" t="s">
        <v>332</v>
      </c>
      <c r="T26" s="261"/>
      <c r="U26" s="261"/>
      <c r="V26" s="257" t="s">
        <v>272</v>
      </c>
      <c r="W26" s="257"/>
      <c r="X26" s="92"/>
      <c r="Y26" s="253"/>
      <c r="Z26" s="253"/>
      <c r="AA26" s="253"/>
      <c r="AB26" s="257" t="s">
        <v>333</v>
      </c>
      <c r="AC26" s="257"/>
      <c r="AD26" s="92"/>
      <c r="AE26" s="253"/>
      <c r="AF26" s="253"/>
      <c r="AG26" s="253"/>
      <c r="AH26" s="257" t="s">
        <v>334</v>
      </c>
      <c r="AI26" s="257"/>
      <c r="AJ26" s="92"/>
    </row>
    <row r="27" spans="1:36" ht="14.65" thickBot="1" x14ac:dyDescent="0.5">
      <c r="A27" s="268" t="s">
        <v>280</v>
      </c>
      <c r="B27" s="268"/>
      <c r="C27" s="268"/>
      <c r="D27" s="253"/>
      <c r="E27" s="253"/>
      <c r="F27" s="253"/>
      <c r="G27" s="253"/>
      <c r="H27" s="253"/>
      <c r="I27" s="253"/>
      <c r="J27" s="253"/>
      <c r="K27" s="253"/>
      <c r="L27" s="253"/>
      <c r="M27" s="253"/>
      <c r="N27" s="253"/>
      <c r="O27" s="253"/>
      <c r="P27" s="253"/>
      <c r="Q27" s="253"/>
      <c r="R27" s="253"/>
      <c r="S27" s="262" t="s">
        <v>335</v>
      </c>
      <c r="T27" s="262"/>
      <c r="U27" s="262"/>
      <c r="V27" s="250" t="s">
        <v>68</v>
      </c>
      <c r="W27" s="250"/>
      <c r="X27" s="94"/>
      <c r="Y27" s="256"/>
      <c r="Z27" s="256"/>
      <c r="AA27" s="256"/>
      <c r="AB27" s="250" t="s">
        <v>336</v>
      </c>
      <c r="AC27" s="250"/>
      <c r="AD27" s="94"/>
      <c r="AE27" s="256"/>
      <c r="AF27" s="256"/>
      <c r="AG27" s="256"/>
      <c r="AH27" s="250" t="s">
        <v>68</v>
      </c>
      <c r="AI27" s="250"/>
      <c r="AJ27" s="94"/>
    </row>
    <row r="28" spans="1:36" ht="14.65" thickBot="1" x14ac:dyDescent="0.5">
      <c r="A28" s="262" t="s">
        <v>281</v>
      </c>
      <c r="B28" s="262"/>
      <c r="C28" s="262"/>
      <c r="D28" s="263" t="s">
        <v>282</v>
      </c>
      <c r="E28" s="263"/>
      <c r="F28" s="94"/>
      <c r="G28" s="256"/>
      <c r="H28" s="256"/>
      <c r="I28" s="256"/>
      <c r="J28" s="263" t="s">
        <v>283</v>
      </c>
      <c r="K28" s="263"/>
      <c r="L28" s="94"/>
      <c r="M28" s="256"/>
      <c r="N28" s="256"/>
      <c r="O28" s="256"/>
      <c r="P28" s="263" t="s">
        <v>284</v>
      </c>
      <c r="Q28" s="263"/>
      <c r="R28" s="94"/>
      <c r="S28" s="271" t="s">
        <v>273</v>
      </c>
      <c r="T28" s="271"/>
      <c r="U28" s="271"/>
      <c r="V28" s="252" t="s">
        <v>276</v>
      </c>
      <c r="W28" s="252"/>
      <c r="X28" s="96"/>
      <c r="Y28" s="253"/>
      <c r="Z28" s="253"/>
      <c r="AA28" s="253"/>
      <c r="AB28" s="252" t="s">
        <v>337</v>
      </c>
      <c r="AC28" s="252"/>
      <c r="AD28" s="96"/>
      <c r="AE28" s="253"/>
      <c r="AF28" s="253"/>
      <c r="AG28" s="253"/>
      <c r="AH28" s="252" t="s">
        <v>338</v>
      </c>
      <c r="AI28" s="252"/>
      <c r="AJ28" s="96"/>
    </row>
    <row r="29" spans="1:36" x14ac:dyDescent="0.45">
      <c r="A29" s="261" t="s">
        <v>285</v>
      </c>
      <c r="B29" s="261"/>
      <c r="C29" s="261"/>
      <c r="D29" s="270">
        <v>-22451</v>
      </c>
      <c r="E29" s="270"/>
      <c r="F29" s="92"/>
      <c r="G29" s="253"/>
      <c r="H29" s="253"/>
      <c r="I29" s="253"/>
      <c r="J29" s="270">
        <v>-15379</v>
      </c>
      <c r="K29" s="270"/>
      <c r="L29" s="92"/>
      <c r="M29" s="253"/>
      <c r="N29" s="253"/>
      <c r="O29" s="253"/>
      <c r="P29" s="270">
        <v>-8349</v>
      </c>
      <c r="Q29" s="270"/>
      <c r="R29" s="92"/>
      <c r="S29" s="256"/>
      <c r="T29" s="256"/>
      <c r="U29" s="256"/>
      <c r="V29" s="259"/>
      <c r="W29" s="259"/>
      <c r="X29" s="259"/>
      <c r="Y29" s="256"/>
      <c r="Z29" s="256"/>
      <c r="AA29" s="256"/>
      <c r="AB29" s="259"/>
      <c r="AC29" s="259"/>
      <c r="AD29" s="259"/>
      <c r="AE29" s="256"/>
      <c r="AF29" s="256"/>
      <c r="AG29" s="256"/>
      <c r="AH29" s="259"/>
      <c r="AI29" s="259"/>
      <c r="AJ29" s="259"/>
    </row>
    <row r="30" spans="1:36" ht="14.65" thickBot="1" x14ac:dyDescent="0.5">
      <c r="A30" s="262" t="s">
        <v>286</v>
      </c>
      <c r="B30" s="262"/>
      <c r="C30" s="262"/>
      <c r="D30" s="250" t="s">
        <v>287</v>
      </c>
      <c r="E30" s="250"/>
      <c r="F30" s="94"/>
      <c r="G30" s="256"/>
      <c r="H30" s="256"/>
      <c r="I30" s="256"/>
      <c r="J30" s="250" t="s">
        <v>288</v>
      </c>
      <c r="K30" s="250"/>
      <c r="L30" s="94"/>
      <c r="M30" s="256"/>
      <c r="N30" s="256"/>
      <c r="O30" s="256"/>
      <c r="P30" s="273">
        <v>-2446</v>
      </c>
      <c r="Q30" s="273"/>
      <c r="R30" s="94"/>
      <c r="S30" s="274" t="s">
        <v>201</v>
      </c>
      <c r="T30" s="274"/>
      <c r="U30" s="274"/>
      <c r="V30" s="257" t="s">
        <v>209</v>
      </c>
      <c r="W30" s="257"/>
      <c r="X30" s="92"/>
      <c r="Y30" s="253"/>
      <c r="Z30" s="253"/>
      <c r="AA30" s="253"/>
      <c r="AB30" s="270">
        <v>-7439</v>
      </c>
      <c r="AC30" s="270"/>
      <c r="AD30" s="92"/>
      <c r="AE30" s="253"/>
      <c r="AF30" s="253"/>
      <c r="AG30" s="253"/>
      <c r="AH30" s="270">
        <v>-79299</v>
      </c>
      <c r="AI30" s="270"/>
      <c r="AJ30" s="92"/>
    </row>
    <row r="31" spans="1:36" ht="14.65" thickBot="1" x14ac:dyDescent="0.5">
      <c r="A31" s="271" t="s">
        <v>104</v>
      </c>
      <c r="B31" s="271"/>
      <c r="C31" s="271"/>
      <c r="D31" s="252" t="s">
        <v>105</v>
      </c>
      <c r="E31" s="252"/>
      <c r="F31" s="96"/>
      <c r="G31" s="253"/>
      <c r="H31" s="253"/>
      <c r="I31" s="253"/>
      <c r="J31" s="252" t="s">
        <v>134</v>
      </c>
      <c r="K31" s="252"/>
      <c r="L31" s="96"/>
      <c r="M31" s="253"/>
      <c r="N31" s="253"/>
      <c r="O31" s="253"/>
      <c r="P31" s="272">
        <v>-1481</v>
      </c>
      <c r="Q31" s="272"/>
      <c r="R31" s="96"/>
      <c r="S31" s="258" t="s">
        <v>280</v>
      </c>
      <c r="T31" s="258"/>
      <c r="U31" s="258"/>
      <c r="V31" s="256"/>
      <c r="W31" s="256"/>
      <c r="X31" s="256"/>
      <c r="Y31" s="256"/>
      <c r="Z31" s="256"/>
      <c r="AA31" s="256"/>
      <c r="AB31" s="256"/>
      <c r="AC31" s="256"/>
      <c r="AD31" s="256"/>
      <c r="AE31" s="256"/>
      <c r="AF31" s="256"/>
      <c r="AG31" s="256"/>
      <c r="AH31" s="256"/>
      <c r="AI31" s="256"/>
      <c r="AJ31" s="256"/>
    </row>
    <row r="32" spans="1:36" x14ac:dyDescent="0.45">
      <c r="A32" s="256"/>
      <c r="B32" s="256"/>
      <c r="C32" s="256"/>
      <c r="D32" s="259"/>
      <c r="E32" s="259"/>
      <c r="F32" s="259"/>
      <c r="G32" s="256"/>
      <c r="H32" s="256"/>
      <c r="I32" s="256"/>
      <c r="J32" s="259"/>
      <c r="K32" s="259"/>
      <c r="L32" s="259"/>
      <c r="M32" s="256"/>
      <c r="N32" s="256"/>
      <c r="O32" s="256"/>
      <c r="P32" s="259"/>
      <c r="Q32" s="259"/>
      <c r="R32" s="259"/>
      <c r="S32" s="261" t="s">
        <v>281</v>
      </c>
      <c r="T32" s="261"/>
      <c r="U32" s="261"/>
      <c r="V32" s="257" t="s">
        <v>284</v>
      </c>
      <c r="W32" s="257"/>
      <c r="X32" s="92"/>
      <c r="Y32" s="253"/>
      <c r="Z32" s="253"/>
      <c r="AA32" s="253"/>
      <c r="AB32" s="257" t="s">
        <v>339</v>
      </c>
      <c r="AC32" s="257"/>
      <c r="AD32" s="92"/>
      <c r="AE32" s="253"/>
      <c r="AF32" s="253"/>
      <c r="AG32" s="253"/>
      <c r="AH32" s="257" t="s">
        <v>340</v>
      </c>
      <c r="AI32" s="257"/>
      <c r="AJ32" s="92"/>
    </row>
    <row r="33" spans="1:36" x14ac:dyDescent="0.45">
      <c r="A33" s="274" t="s">
        <v>289</v>
      </c>
      <c r="B33" s="274"/>
      <c r="C33" s="274"/>
      <c r="D33" s="257" t="s">
        <v>107</v>
      </c>
      <c r="E33" s="257"/>
      <c r="F33" s="92"/>
      <c r="G33" s="253"/>
      <c r="H33" s="253"/>
      <c r="I33" s="253"/>
      <c r="J33" s="257" t="s">
        <v>135</v>
      </c>
      <c r="K33" s="257"/>
      <c r="L33" s="92"/>
      <c r="M33" s="253"/>
      <c r="N33" s="253"/>
      <c r="O33" s="253"/>
      <c r="P33" s="257" t="s">
        <v>162</v>
      </c>
      <c r="Q33" s="257"/>
      <c r="R33" s="92"/>
      <c r="S33" s="262" t="s">
        <v>285</v>
      </c>
      <c r="T33" s="262"/>
      <c r="U33" s="262"/>
      <c r="V33" s="278">
        <v>-8349</v>
      </c>
      <c r="W33" s="278"/>
      <c r="X33" s="94"/>
      <c r="Y33" s="256"/>
      <c r="Z33" s="256"/>
      <c r="AA33" s="256"/>
      <c r="AB33" s="278">
        <v>-6724</v>
      </c>
      <c r="AC33" s="278"/>
      <c r="AD33" s="94"/>
      <c r="AE33" s="256"/>
      <c r="AF33" s="256"/>
      <c r="AG33" s="256"/>
      <c r="AH33" s="278">
        <v>-28638</v>
      </c>
      <c r="AI33" s="278"/>
      <c r="AJ33" s="94"/>
    </row>
    <row r="34" spans="1:36" ht="14.65" thickBot="1" x14ac:dyDescent="0.5">
      <c r="A34" s="269" t="s">
        <v>290</v>
      </c>
      <c r="B34" s="269"/>
      <c r="C34" s="269"/>
      <c r="D34" s="273">
        <v>-38932</v>
      </c>
      <c r="E34" s="273"/>
      <c r="F34" s="94"/>
      <c r="G34" s="256"/>
      <c r="H34" s="256"/>
      <c r="I34" s="256"/>
      <c r="J34" s="273">
        <v>-43407</v>
      </c>
      <c r="K34" s="273"/>
      <c r="L34" s="94"/>
      <c r="M34" s="256"/>
      <c r="N34" s="256"/>
      <c r="O34" s="256"/>
      <c r="P34" s="273">
        <v>-29068</v>
      </c>
      <c r="Q34" s="273"/>
      <c r="R34" s="94"/>
      <c r="S34" s="261" t="s">
        <v>286</v>
      </c>
      <c r="T34" s="261"/>
      <c r="U34" s="261"/>
      <c r="V34" s="280">
        <v>-2446</v>
      </c>
      <c r="W34" s="280"/>
      <c r="X34" s="92"/>
      <c r="Y34" s="253"/>
      <c r="Z34" s="253"/>
      <c r="AA34" s="253"/>
      <c r="AB34" s="280">
        <v>-4213</v>
      </c>
      <c r="AC34" s="280"/>
      <c r="AD34" s="92"/>
      <c r="AE34" s="253"/>
      <c r="AF34" s="253"/>
      <c r="AG34" s="253"/>
      <c r="AH34" s="280">
        <v>-17430</v>
      </c>
      <c r="AI34" s="280"/>
      <c r="AJ34" s="92"/>
    </row>
    <row r="35" spans="1:36" ht="14.65" thickBot="1" x14ac:dyDescent="0.5">
      <c r="A35" s="274" t="s">
        <v>291</v>
      </c>
      <c r="B35" s="274"/>
      <c r="C35" s="274"/>
      <c r="D35" s="275" t="s">
        <v>292</v>
      </c>
      <c r="E35" s="275"/>
      <c r="F35" s="96"/>
      <c r="G35" s="253"/>
      <c r="H35" s="253"/>
      <c r="I35" s="253"/>
      <c r="J35" s="275" t="s">
        <v>293</v>
      </c>
      <c r="K35" s="275"/>
      <c r="L35" s="96"/>
      <c r="M35" s="253"/>
      <c r="N35" s="253"/>
      <c r="O35" s="253"/>
      <c r="P35" s="275" t="s">
        <v>294</v>
      </c>
      <c r="Q35" s="275"/>
      <c r="R35" s="96"/>
      <c r="S35" s="266" t="s">
        <v>104</v>
      </c>
      <c r="T35" s="266"/>
      <c r="U35" s="266"/>
      <c r="V35" s="279">
        <v>-1481</v>
      </c>
      <c r="W35" s="279"/>
      <c r="X35" s="98"/>
      <c r="Y35" s="256"/>
      <c r="Z35" s="256"/>
      <c r="AA35" s="256"/>
      <c r="AB35" s="279">
        <v>-8304</v>
      </c>
      <c r="AC35" s="279"/>
      <c r="AD35" s="98"/>
      <c r="AE35" s="256"/>
      <c r="AF35" s="256"/>
      <c r="AG35" s="256"/>
      <c r="AH35" s="279">
        <v>-44511</v>
      </c>
      <c r="AI35" s="279"/>
      <c r="AJ35" s="98"/>
    </row>
    <row r="36" spans="1:36" ht="26.25" customHeight="1" thickBot="1" x14ac:dyDescent="0.5">
      <c r="A36" s="269" t="s">
        <v>295</v>
      </c>
      <c r="B36" s="269"/>
      <c r="C36" s="269"/>
      <c r="D36" s="250" t="s">
        <v>296</v>
      </c>
      <c r="E36" s="250"/>
      <c r="F36" s="94"/>
      <c r="G36" s="256"/>
      <c r="H36" s="256"/>
      <c r="I36" s="256"/>
      <c r="J36" s="250" t="s">
        <v>297</v>
      </c>
      <c r="K36" s="250"/>
      <c r="L36" s="94"/>
      <c r="M36" s="256"/>
      <c r="N36" s="256"/>
      <c r="O36" s="256"/>
      <c r="P36" s="250" t="s">
        <v>298</v>
      </c>
      <c r="Q36" s="250"/>
      <c r="R36" s="94"/>
      <c r="S36" s="253"/>
      <c r="T36" s="253"/>
      <c r="U36" s="253"/>
      <c r="V36" s="265"/>
      <c r="W36" s="265"/>
      <c r="X36" s="265"/>
      <c r="Y36" s="253"/>
      <c r="Z36" s="253"/>
      <c r="AA36" s="253"/>
      <c r="AB36" s="265"/>
      <c r="AC36" s="265"/>
      <c r="AD36" s="265"/>
      <c r="AE36" s="253"/>
      <c r="AF36" s="253"/>
      <c r="AG36" s="253"/>
      <c r="AH36" s="265"/>
      <c r="AI36" s="265"/>
      <c r="AJ36" s="265"/>
    </row>
    <row r="37" spans="1:36" ht="26.25" customHeight="1" thickBot="1" x14ac:dyDescent="0.5">
      <c r="A37" s="274" t="s">
        <v>299</v>
      </c>
      <c r="B37" s="274"/>
      <c r="C37" s="274"/>
      <c r="D37" s="99" t="s">
        <v>64</v>
      </c>
      <c r="E37" s="95" t="s">
        <v>300</v>
      </c>
      <c r="F37" s="96"/>
      <c r="G37" s="253"/>
      <c r="H37" s="253"/>
      <c r="I37" s="253"/>
      <c r="J37" s="99" t="s">
        <v>64</v>
      </c>
      <c r="K37" s="95" t="s">
        <v>301</v>
      </c>
      <c r="L37" s="96"/>
      <c r="M37" s="253"/>
      <c r="N37" s="253"/>
      <c r="O37" s="253"/>
      <c r="P37" s="99" t="s">
        <v>64</v>
      </c>
      <c r="Q37" s="95" t="s">
        <v>302</v>
      </c>
      <c r="R37" s="96"/>
      <c r="S37" s="269" t="s">
        <v>210</v>
      </c>
      <c r="T37" s="269"/>
      <c r="U37" s="269"/>
      <c r="V37" s="263" t="s">
        <v>162</v>
      </c>
      <c r="W37" s="263"/>
      <c r="X37" s="94"/>
      <c r="Y37" s="256"/>
      <c r="Z37" s="256"/>
      <c r="AA37" s="256"/>
      <c r="AB37" s="278">
        <v>-15743</v>
      </c>
      <c r="AC37" s="278"/>
      <c r="AD37" s="94"/>
      <c r="AE37" s="256"/>
      <c r="AF37" s="256"/>
      <c r="AG37" s="256"/>
      <c r="AH37" s="278">
        <v>-123810</v>
      </c>
      <c r="AI37" s="278"/>
      <c r="AJ37" s="94"/>
    </row>
    <row r="38" spans="1:36" ht="15" thickTop="1" thickBot="1" x14ac:dyDescent="0.5">
      <c r="A38" s="256"/>
      <c r="B38" s="256"/>
      <c r="C38" s="256"/>
      <c r="D38" s="276"/>
      <c r="E38" s="276"/>
      <c r="F38" s="276"/>
      <c r="G38" s="256"/>
      <c r="H38" s="256"/>
      <c r="I38" s="256"/>
      <c r="J38" s="276"/>
      <c r="K38" s="276"/>
      <c r="L38" s="276"/>
      <c r="M38" s="256"/>
      <c r="N38" s="256"/>
      <c r="O38" s="256"/>
      <c r="P38" s="276"/>
      <c r="Q38" s="276"/>
      <c r="R38" s="276"/>
      <c r="S38" s="268" t="s">
        <v>341</v>
      </c>
      <c r="T38" s="268"/>
      <c r="U38" s="268"/>
      <c r="V38" s="280">
        <v>-29068</v>
      </c>
      <c r="W38" s="280"/>
      <c r="X38" s="92"/>
      <c r="Y38" s="253"/>
      <c r="Z38" s="253"/>
      <c r="AA38" s="253"/>
      <c r="AB38" s="281" t="s">
        <v>342</v>
      </c>
      <c r="AC38" s="281"/>
      <c r="AD38" s="92"/>
      <c r="AE38" s="253"/>
      <c r="AF38" s="253"/>
      <c r="AG38" s="253"/>
      <c r="AH38" s="281" t="s">
        <v>343</v>
      </c>
      <c r="AI38" s="281"/>
      <c r="AJ38" s="92"/>
    </row>
    <row r="39" spans="1:36" ht="26.25" customHeight="1" thickBot="1" x14ac:dyDescent="0.5">
      <c r="A39" s="274" t="s">
        <v>303</v>
      </c>
      <c r="B39" s="274"/>
      <c r="C39" s="274"/>
      <c r="D39" s="90" t="s">
        <v>64</v>
      </c>
      <c r="E39" s="91" t="s">
        <v>304</v>
      </c>
      <c r="F39" s="92"/>
      <c r="G39" s="253"/>
      <c r="H39" s="253"/>
      <c r="I39" s="253"/>
      <c r="J39" s="90" t="s">
        <v>64</v>
      </c>
      <c r="K39" s="91" t="s">
        <v>305</v>
      </c>
      <c r="L39" s="92"/>
      <c r="M39" s="253"/>
      <c r="N39" s="253"/>
      <c r="O39" s="253"/>
      <c r="P39" s="90" t="s">
        <v>64</v>
      </c>
      <c r="Q39" s="91" t="s">
        <v>306</v>
      </c>
      <c r="R39" s="92"/>
      <c r="S39" s="269" t="s">
        <v>344</v>
      </c>
      <c r="T39" s="269"/>
      <c r="U39" s="269"/>
      <c r="V39" s="260" t="s">
        <v>294</v>
      </c>
      <c r="W39" s="260"/>
      <c r="X39" s="98"/>
      <c r="Y39" s="256"/>
      <c r="Z39" s="256"/>
      <c r="AA39" s="256"/>
      <c r="AB39" s="282">
        <v>-9547</v>
      </c>
      <c r="AC39" s="282"/>
      <c r="AD39" s="98"/>
      <c r="AE39" s="256"/>
      <c r="AF39" s="256"/>
      <c r="AG39" s="256"/>
      <c r="AH39" s="282">
        <v>-78298</v>
      </c>
      <c r="AI39" s="282"/>
      <c r="AJ39" s="98"/>
    </row>
    <row r="40" spans="1:36" ht="26.25" customHeight="1" thickTop="1" thickBot="1" x14ac:dyDescent="0.5">
      <c r="A40" s="269" t="s">
        <v>307</v>
      </c>
      <c r="B40" s="269"/>
      <c r="C40" s="269"/>
      <c r="D40" s="100" t="s">
        <v>64</v>
      </c>
      <c r="E40" s="101" t="s">
        <v>308</v>
      </c>
      <c r="F40" s="102"/>
      <c r="G40" s="256"/>
      <c r="H40" s="256"/>
      <c r="I40" s="256"/>
      <c r="J40" s="100" t="s">
        <v>64</v>
      </c>
      <c r="K40" s="101" t="s">
        <v>309</v>
      </c>
      <c r="L40" s="102"/>
      <c r="M40" s="256"/>
      <c r="N40" s="256"/>
      <c r="O40" s="256"/>
      <c r="P40" s="100" t="s">
        <v>64</v>
      </c>
      <c r="Q40" s="101" t="s">
        <v>310</v>
      </c>
      <c r="R40" s="102"/>
      <c r="S40" s="274" t="s">
        <v>295</v>
      </c>
      <c r="T40" s="274"/>
      <c r="U40" s="274"/>
      <c r="V40" s="281" t="s">
        <v>298</v>
      </c>
      <c r="W40" s="281"/>
      <c r="X40" s="92"/>
      <c r="Y40" s="253"/>
      <c r="Z40" s="253"/>
      <c r="AA40" s="253"/>
      <c r="AB40" s="281" t="s">
        <v>345</v>
      </c>
      <c r="AC40" s="281"/>
      <c r="AD40" s="92"/>
      <c r="AE40" s="253"/>
      <c r="AF40" s="253"/>
      <c r="AG40" s="253"/>
      <c r="AH40" s="281" t="s">
        <v>346</v>
      </c>
      <c r="AI40" s="281"/>
      <c r="AJ40" s="92"/>
    </row>
    <row r="41" spans="1:36" ht="26.25" customHeight="1" thickTop="1" thickBot="1" x14ac:dyDescent="0.5">
      <c r="A41" s="253"/>
      <c r="B41" s="253"/>
      <c r="C41" s="253"/>
      <c r="D41" s="277"/>
      <c r="E41" s="277"/>
      <c r="F41" s="277"/>
      <c r="G41" s="253"/>
      <c r="H41" s="253"/>
      <c r="I41" s="253"/>
      <c r="J41" s="277"/>
      <c r="K41" s="277"/>
      <c r="L41" s="277"/>
      <c r="M41" s="253"/>
      <c r="N41" s="253"/>
      <c r="O41" s="253"/>
      <c r="P41" s="277"/>
      <c r="Q41" s="277"/>
      <c r="R41" s="277"/>
      <c r="S41" s="269" t="s">
        <v>347</v>
      </c>
      <c r="T41" s="269"/>
      <c r="U41" s="269"/>
      <c r="V41" s="104" t="s">
        <v>64</v>
      </c>
      <c r="W41" s="97" t="s">
        <v>302</v>
      </c>
      <c r="X41" s="98"/>
      <c r="Y41" s="256"/>
      <c r="Z41" s="256"/>
      <c r="AA41" s="256"/>
      <c r="AB41" s="104" t="s">
        <v>64</v>
      </c>
      <c r="AC41" s="103">
        <v>-9732</v>
      </c>
      <c r="AD41" s="98"/>
      <c r="AE41" s="256"/>
      <c r="AF41" s="256"/>
      <c r="AG41" s="256"/>
      <c r="AH41" s="104" t="s">
        <v>64</v>
      </c>
      <c r="AI41" s="103">
        <v>-81255</v>
      </c>
      <c r="AJ41" s="98"/>
    </row>
    <row r="42" spans="1:36" ht="26.25" customHeight="1" thickTop="1" x14ac:dyDescent="0.45">
      <c r="A42" s="258" t="s">
        <v>311</v>
      </c>
      <c r="B42" s="258"/>
      <c r="C42" s="258"/>
      <c r="D42" s="263" t="s">
        <v>312</v>
      </c>
      <c r="E42" s="263"/>
      <c r="F42" s="94"/>
      <c r="G42" s="256"/>
      <c r="H42" s="256"/>
      <c r="I42" s="256"/>
      <c r="J42" s="263" t="s">
        <v>313</v>
      </c>
      <c r="K42" s="263"/>
      <c r="L42" s="94"/>
      <c r="M42" s="256"/>
      <c r="N42" s="256"/>
      <c r="O42" s="256"/>
      <c r="P42" s="263" t="s">
        <v>314</v>
      </c>
      <c r="Q42" s="263"/>
      <c r="R42" s="94"/>
      <c r="S42" s="253"/>
      <c r="T42" s="253"/>
      <c r="U42" s="253"/>
      <c r="V42" s="277"/>
      <c r="W42" s="277"/>
      <c r="X42" s="277"/>
      <c r="Y42" s="253"/>
      <c r="Z42" s="253"/>
      <c r="AA42" s="253"/>
      <c r="AB42" s="277"/>
      <c r="AC42" s="277"/>
      <c r="AD42" s="277"/>
      <c r="AE42" s="253"/>
      <c r="AF42" s="253"/>
      <c r="AG42" s="253"/>
      <c r="AH42" s="277"/>
      <c r="AI42" s="277"/>
      <c r="AJ42" s="277"/>
    </row>
    <row r="43" spans="1:36" ht="26.25" customHeight="1" thickBot="1" x14ac:dyDescent="0.5">
      <c r="A43" s="268" t="s">
        <v>315</v>
      </c>
      <c r="B43" s="268"/>
      <c r="C43" s="268"/>
      <c r="D43" s="257" t="s">
        <v>316</v>
      </c>
      <c r="E43" s="257"/>
      <c r="F43" s="92"/>
      <c r="G43" s="253"/>
      <c r="H43" s="253"/>
      <c r="I43" s="253"/>
      <c r="J43" s="257" t="s">
        <v>317</v>
      </c>
      <c r="K43" s="257"/>
      <c r="L43" s="92"/>
      <c r="M43" s="253"/>
      <c r="N43" s="253"/>
      <c r="O43" s="253"/>
      <c r="P43" s="257" t="s">
        <v>318</v>
      </c>
      <c r="Q43" s="257"/>
      <c r="R43" s="92"/>
      <c r="S43" s="269" t="s">
        <v>348</v>
      </c>
      <c r="T43" s="269"/>
      <c r="U43" s="269"/>
      <c r="V43" s="105" t="s">
        <v>64</v>
      </c>
      <c r="W43" s="93" t="s">
        <v>306</v>
      </c>
      <c r="X43" s="94"/>
      <c r="Y43" s="256"/>
      <c r="Z43" s="256"/>
      <c r="AA43" s="256"/>
      <c r="AB43" s="105" t="s">
        <v>64</v>
      </c>
      <c r="AC43" s="93">
        <v>-0.22</v>
      </c>
      <c r="AD43" s="94"/>
      <c r="AE43" s="256"/>
      <c r="AF43" s="256"/>
      <c r="AG43" s="256"/>
      <c r="AH43" s="105" t="s">
        <v>64</v>
      </c>
      <c r="AI43" s="93">
        <v>-1.83</v>
      </c>
      <c r="AJ43" s="94"/>
    </row>
    <row r="44" spans="1:36" ht="26.25" customHeight="1" thickTop="1" thickBot="1" x14ac:dyDescent="0.5">
      <c r="S44" s="274" t="s">
        <v>349</v>
      </c>
      <c r="T44" s="274"/>
      <c r="U44" s="274"/>
      <c r="V44" s="106" t="s">
        <v>64</v>
      </c>
      <c r="W44" s="107" t="s">
        <v>310</v>
      </c>
      <c r="X44" s="108"/>
      <c r="Y44" s="253"/>
      <c r="Z44" s="253"/>
      <c r="AA44" s="253"/>
      <c r="AB44" s="106" t="s">
        <v>64</v>
      </c>
      <c r="AC44" s="107">
        <v>-0.22</v>
      </c>
      <c r="AD44" s="108"/>
      <c r="AE44" s="253"/>
      <c r="AF44" s="253"/>
      <c r="AG44" s="253"/>
      <c r="AH44" s="106" t="s">
        <v>64</v>
      </c>
      <c r="AI44" s="107">
        <v>-1.83</v>
      </c>
      <c r="AJ44" s="108"/>
    </row>
    <row r="45" spans="1:36" ht="14.65" thickTop="1" x14ac:dyDescent="0.45">
      <c r="S45" s="256"/>
      <c r="T45" s="256"/>
      <c r="U45" s="256"/>
      <c r="V45" s="276"/>
      <c r="W45" s="276"/>
      <c r="X45" s="276"/>
      <c r="Y45" s="256"/>
      <c r="Z45" s="256"/>
      <c r="AA45" s="256"/>
      <c r="AB45" s="276"/>
      <c r="AC45" s="276"/>
      <c r="AD45" s="276"/>
      <c r="AE45" s="256"/>
      <c r="AF45" s="256"/>
      <c r="AG45" s="256"/>
      <c r="AH45" s="276"/>
      <c r="AI45" s="276"/>
      <c r="AJ45" s="276"/>
    </row>
    <row r="46" spans="1:36" ht="26.25" customHeight="1" x14ac:dyDescent="0.45">
      <c r="S46" s="268" t="s">
        <v>311</v>
      </c>
      <c r="T46" s="268"/>
      <c r="U46" s="268"/>
      <c r="V46" s="257" t="s">
        <v>314</v>
      </c>
      <c r="W46" s="257"/>
      <c r="X46" s="92"/>
      <c r="Y46" s="253"/>
      <c r="Z46" s="253"/>
      <c r="AA46" s="253"/>
      <c r="AB46" s="257" t="s">
        <v>350</v>
      </c>
      <c r="AC46" s="257"/>
      <c r="AD46" s="92"/>
      <c r="AE46" s="253"/>
      <c r="AF46" s="253"/>
      <c r="AG46" s="253"/>
      <c r="AH46" s="257" t="s">
        <v>351</v>
      </c>
      <c r="AI46" s="257"/>
      <c r="AJ46" s="92"/>
    </row>
    <row r="47" spans="1:36" ht="26.25" customHeight="1" x14ac:dyDescent="0.45">
      <c r="S47" s="258" t="s">
        <v>315</v>
      </c>
      <c r="T47" s="258"/>
      <c r="U47" s="258"/>
      <c r="V47" s="263" t="s">
        <v>318</v>
      </c>
      <c r="W47" s="263"/>
      <c r="X47" s="94"/>
      <c r="Y47" s="256"/>
      <c r="Z47" s="256"/>
      <c r="AA47" s="256"/>
      <c r="AB47" s="263" t="s">
        <v>350</v>
      </c>
      <c r="AC47" s="263"/>
      <c r="AD47" s="94"/>
      <c r="AE47" s="256"/>
      <c r="AF47" s="256"/>
      <c r="AG47" s="256"/>
      <c r="AH47" s="278">
        <v>44301</v>
      </c>
      <c r="AI47" s="278"/>
    </row>
  </sheetData>
  <mergeCells count="430">
    <mergeCell ref="S47:U47"/>
    <mergeCell ref="V47:W47"/>
    <mergeCell ref="Y47:AA47"/>
    <mergeCell ref="AB47:AC47"/>
    <mergeCell ref="AE47:AG47"/>
    <mergeCell ref="AH47:AI47"/>
    <mergeCell ref="S46:U46"/>
    <mergeCell ref="V46:W46"/>
    <mergeCell ref="Y46:AA46"/>
    <mergeCell ref="AB46:AC46"/>
    <mergeCell ref="AE46:AG46"/>
    <mergeCell ref="AH46:AI46"/>
    <mergeCell ref="S45:U45"/>
    <mergeCell ref="V45:X45"/>
    <mergeCell ref="Y45:AA45"/>
    <mergeCell ref="AB45:AD45"/>
    <mergeCell ref="AE45:AG45"/>
    <mergeCell ref="AH45:AJ45"/>
    <mergeCell ref="AH42:AJ42"/>
    <mergeCell ref="S43:U43"/>
    <mergeCell ref="Y43:AA43"/>
    <mergeCell ref="AE43:AG43"/>
    <mergeCell ref="S44:U44"/>
    <mergeCell ref="Y44:AA44"/>
    <mergeCell ref="AE44:AG44"/>
    <mergeCell ref="S41:U41"/>
    <mergeCell ref="Y41:AA41"/>
    <mergeCell ref="AE41:AG41"/>
    <mergeCell ref="S42:U42"/>
    <mergeCell ref="V42:X42"/>
    <mergeCell ref="Y42:AA42"/>
    <mergeCell ref="AB42:AD42"/>
    <mergeCell ref="AE42:AG42"/>
    <mergeCell ref="S40:U40"/>
    <mergeCell ref="V40:W40"/>
    <mergeCell ref="Y40:AA40"/>
    <mergeCell ref="AB40:AC40"/>
    <mergeCell ref="AE40:AG40"/>
    <mergeCell ref="AH40:AI40"/>
    <mergeCell ref="S39:U39"/>
    <mergeCell ref="V39:W39"/>
    <mergeCell ref="Y39:AA39"/>
    <mergeCell ref="AB39:AC39"/>
    <mergeCell ref="AE39:AG39"/>
    <mergeCell ref="AH39:AI39"/>
    <mergeCell ref="S38:U38"/>
    <mergeCell ref="V38:W38"/>
    <mergeCell ref="Y38:AA38"/>
    <mergeCell ref="AB38:AC38"/>
    <mergeCell ref="AE38:AG38"/>
    <mergeCell ref="AH38:AI38"/>
    <mergeCell ref="S37:U37"/>
    <mergeCell ref="V37:W37"/>
    <mergeCell ref="Y37:AA37"/>
    <mergeCell ref="AB37:AC37"/>
    <mergeCell ref="AE37:AG37"/>
    <mergeCell ref="AH37:AI37"/>
    <mergeCell ref="S36:U36"/>
    <mergeCell ref="V36:X36"/>
    <mergeCell ref="Y36:AA36"/>
    <mergeCell ref="AB36:AD36"/>
    <mergeCell ref="AE36:AG36"/>
    <mergeCell ref="AH36:AJ36"/>
    <mergeCell ref="S35:U35"/>
    <mergeCell ref="V35:W35"/>
    <mergeCell ref="Y35:AA35"/>
    <mergeCell ref="AB35:AC35"/>
    <mergeCell ref="AE35:AG35"/>
    <mergeCell ref="AH35:AI35"/>
    <mergeCell ref="S34:U34"/>
    <mergeCell ref="V34:W34"/>
    <mergeCell ref="Y34:AA34"/>
    <mergeCell ref="AB34:AC34"/>
    <mergeCell ref="AE34:AG34"/>
    <mergeCell ref="AH34:AI34"/>
    <mergeCell ref="S33:U33"/>
    <mergeCell ref="V33:W33"/>
    <mergeCell ref="Y33:AA33"/>
    <mergeCell ref="AB33:AC33"/>
    <mergeCell ref="AE33:AG33"/>
    <mergeCell ref="AH33:AI33"/>
    <mergeCell ref="S32:U32"/>
    <mergeCell ref="V32:W32"/>
    <mergeCell ref="Y32:AA32"/>
    <mergeCell ref="AB32:AC32"/>
    <mergeCell ref="AE32:AG32"/>
    <mergeCell ref="AH32:AI32"/>
    <mergeCell ref="S31:U31"/>
    <mergeCell ref="V31:X31"/>
    <mergeCell ref="Y31:AA31"/>
    <mergeCell ref="AB31:AD31"/>
    <mergeCell ref="AE31:AG31"/>
    <mergeCell ref="AH31:AJ31"/>
    <mergeCell ref="S30:U30"/>
    <mergeCell ref="V30:W30"/>
    <mergeCell ref="Y30:AA30"/>
    <mergeCell ref="AB30:AC30"/>
    <mergeCell ref="AE30:AG30"/>
    <mergeCell ref="AH30:AI30"/>
    <mergeCell ref="S29:U29"/>
    <mergeCell ref="V29:X29"/>
    <mergeCell ref="Y29:AA29"/>
    <mergeCell ref="AB29:AD29"/>
    <mergeCell ref="AE29:AG29"/>
    <mergeCell ref="AH29:AJ29"/>
    <mergeCell ref="S28:U28"/>
    <mergeCell ref="V28:W28"/>
    <mergeCell ref="Y28:AA28"/>
    <mergeCell ref="AB28:AC28"/>
    <mergeCell ref="AE28:AG28"/>
    <mergeCell ref="AH28:AI28"/>
    <mergeCell ref="S27:U27"/>
    <mergeCell ref="V27:W27"/>
    <mergeCell ref="Y27:AA27"/>
    <mergeCell ref="AB27:AC27"/>
    <mergeCell ref="AE27:AG27"/>
    <mergeCell ref="AH27:AI27"/>
    <mergeCell ref="S26:U26"/>
    <mergeCell ref="V26:W26"/>
    <mergeCell ref="Y26:AA26"/>
    <mergeCell ref="AB26:AC26"/>
    <mergeCell ref="AE26:AG26"/>
    <mergeCell ref="AH26:AI26"/>
    <mergeCell ref="S25:U25"/>
    <mergeCell ref="V25:W25"/>
    <mergeCell ref="Y25:AA25"/>
    <mergeCell ref="AB25:AC25"/>
    <mergeCell ref="AE25:AG25"/>
    <mergeCell ref="AH25:AI25"/>
    <mergeCell ref="S24:U24"/>
    <mergeCell ref="V24:W24"/>
    <mergeCell ref="Y24:AA24"/>
    <mergeCell ref="AB24:AC24"/>
    <mergeCell ref="AE24:AG24"/>
    <mergeCell ref="AH24:AI24"/>
    <mergeCell ref="S22:U22"/>
    <mergeCell ref="V22:W22"/>
    <mergeCell ref="Y22:AA22"/>
    <mergeCell ref="AB22:AC22"/>
    <mergeCell ref="AE22:AG22"/>
    <mergeCell ref="AH22:AI22"/>
    <mergeCell ref="S21:U21"/>
    <mergeCell ref="V21:W21"/>
    <mergeCell ref="Y21:AA21"/>
    <mergeCell ref="AB21:AC21"/>
    <mergeCell ref="AE21:AG21"/>
    <mergeCell ref="AH21:AI21"/>
    <mergeCell ref="S20:U20"/>
    <mergeCell ref="V20:X20"/>
    <mergeCell ref="Y20:AA20"/>
    <mergeCell ref="AB20:AD20"/>
    <mergeCell ref="AE20:AG20"/>
    <mergeCell ref="AH20:AJ20"/>
    <mergeCell ref="S19:U19"/>
    <mergeCell ref="V19:X19"/>
    <mergeCell ref="Y19:AA19"/>
    <mergeCell ref="AB19:AD19"/>
    <mergeCell ref="AE19:AG19"/>
    <mergeCell ref="AH19:AJ19"/>
    <mergeCell ref="S18:U18"/>
    <mergeCell ref="V18:W18"/>
    <mergeCell ref="Y18:AA18"/>
    <mergeCell ref="AB18:AC18"/>
    <mergeCell ref="AE18:AG18"/>
    <mergeCell ref="AH18:AI18"/>
    <mergeCell ref="S17:U17"/>
    <mergeCell ref="V17:W17"/>
    <mergeCell ref="Y17:AA17"/>
    <mergeCell ref="AB17:AC17"/>
    <mergeCell ref="AE17:AG17"/>
    <mergeCell ref="AH17:AI17"/>
    <mergeCell ref="S16:U16"/>
    <mergeCell ref="V16:W16"/>
    <mergeCell ref="Y16:AA16"/>
    <mergeCell ref="AB16:AC16"/>
    <mergeCell ref="AE16:AG16"/>
    <mergeCell ref="AH16:AI16"/>
    <mergeCell ref="S15:U15"/>
    <mergeCell ref="V15:W15"/>
    <mergeCell ref="Y15:AA15"/>
    <mergeCell ref="AB15:AC15"/>
    <mergeCell ref="AE15:AG15"/>
    <mergeCell ref="AH15:AI15"/>
    <mergeCell ref="S14:U14"/>
    <mergeCell ref="V14:X14"/>
    <mergeCell ref="Y14:AA14"/>
    <mergeCell ref="AB14:AD14"/>
    <mergeCell ref="AE14:AG14"/>
    <mergeCell ref="AH14:AJ14"/>
    <mergeCell ref="AH12:AI12"/>
    <mergeCell ref="S13:U13"/>
    <mergeCell ref="V13:W13"/>
    <mergeCell ref="Y13:AA13"/>
    <mergeCell ref="AB13:AC13"/>
    <mergeCell ref="AE13:AG13"/>
    <mergeCell ref="AH13:AI13"/>
    <mergeCell ref="S11:U11"/>
    <mergeCell ref="Y11:AA11"/>
    <mergeCell ref="AE11:AG11"/>
    <mergeCell ref="S12:U12"/>
    <mergeCell ref="V12:W12"/>
    <mergeCell ref="Y12:AA12"/>
    <mergeCell ref="AB12:AC12"/>
    <mergeCell ref="AE12:AG12"/>
    <mergeCell ref="S10:U10"/>
    <mergeCell ref="V10:X10"/>
    <mergeCell ref="Y10:AA10"/>
    <mergeCell ref="AB10:AD10"/>
    <mergeCell ref="AE10:AG10"/>
    <mergeCell ref="AH10:AJ10"/>
    <mergeCell ref="S8:U8"/>
    <mergeCell ref="V8:AJ8"/>
    <mergeCell ref="S9:U9"/>
    <mergeCell ref="V9:X9"/>
    <mergeCell ref="Y9:AA9"/>
    <mergeCell ref="AB9:AD9"/>
    <mergeCell ref="AE9:AG9"/>
    <mergeCell ref="AH9:AJ9"/>
    <mergeCell ref="A43:C43"/>
    <mergeCell ref="D43:E43"/>
    <mergeCell ref="G43:I43"/>
    <mergeCell ref="J43:K43"/>
    <mergeCell ref="M43:O43"/>
    <mergeCell ref="P43:Q43"/>
    <mergeCell ref="A42:C42"/>
    <mergeCell ref="D42:E42"/>
    <mergeCell ref="G42:I42"/>
    <mergeCell ref="J42:K42"/>
    <mergeCell ref="M42:O42"/>
    <mergeCell ref="P42:Q42"/>
    <mergeCell ref="A41:C41"/>
    <mergeCell ref="D41:F41"/>
    <mergeCell ref="G41:I41"/>
    <mergeCell ref="J41:L41"/>
    <mergeCell ref="M41:O41"/>
    <mergeCell ref="P41:R41"/>
    <mergeCell ref="P38:R38"/>
    <mergeCell ref="A39:C39"/>
    <mergeCell ref="G39:I39"/>
    <mergeCell ref="M39:O39"/>
    <mergeCell ref="A40:C40"/>
    <mergeCell ref="G40:I40"/>
    <mergeCell ref="M40:O40"/>
    <mergeCell ref="A37:C37"/>
    <mergeCell ref="G37:I37"/>
    <mergeCell ref="M37:O37"/>
    <mergeCell ref="A38:C38"/>
    <mergeCell ref="D38:F38"/>
    <mergeCell ref="G38:I38"/>
    <mergeCell ref="J38:L38"/>
    <mergeCell ref="M38:O38"/>
    <mergeCell ref="A36:C36"/>
    <mergeCell ref="D36:E36"/>
    <mergeCell ref="G36:I36"/>
    <mergeCell ref="J36:K36"/>
    <mergeCell ref="M36:O36"/>
    <mergeCell ref="P36:Q36"/>
    <mergeCell ref="A35:C35"/>
    <mergeCell ref="D35:E35"/>
    <mergeCell ref="G35:I35"/>
    <mergeCell ref="J35:K35"/>
    <mergeCell ref="M35:O35"/>
    <mergeCell ref="P35:Q35"/>
    <mergeCell ref="A34:C34"/>
    <mergeCell ref="D34:E34"/>
    <mergeCell ref="G34:I34"/>
    <mergeCell ref="J34:K34"/>
    <mergeCell ref="M34:O34"/>
    <mergeCell ref="P34:Q34"/>
    <mergeCell ref="A33:C33"/>
    <mergeCell ref="D33:E33"/>
    <mergeCell ref="G33:I33"/>
    <mergeCell ref="J33:K33"/>
    <mergeCell ref="M33:O33"/>
    <mergeCell ref="P33:Q33"/>
    <mergeCell ref="A32:C32"/>
    <mergeCell ref="D32:F32"/>
    <mergeCell ref="G32:I32"/>
    <mergeCell ref="J32:L32"/>
    <mergeCell ref="M32:O32"/>
    <mergeCell ref="P32:R32"/>
    <mergeCell ref="A31:C31"/>
    <mergeCell ref="D31:E31"/>
    <mergeCell ref="G31:I31"/>
    <mergeCell ref="J31:K31"/>
    <mergeCell ref="M31:O31"/>
    <mergeCell ref="P31:Q31"/>
    <mergeCell ref="A30:C30"/>
    <mergeCell ref="D30:E30"/>
    <mergeCell ref="G30:I30"/>
    <mergeCell ref="J30:K30"/>
    <mergeCell ref="M30:O30"/>
    <mergeCell ref="P30:Q30"/>
    <mergeCell ref="A29:C29"/>
    <mergeCell ref="D29:E29"/>
    <mergeCell ref="G29:I29"/>
    <mergeCell ref="J29:K29"/>
    <mergeCell ref="M29:O29"/>
    <mergeCell ref="P29:Q29"/>
    <mergeCell ref="A28:C28"/>
    <mergeCell ref="D28:E28"/>
    <mergeCell ref="G28:I28"/>
    <mergeCell ref="J28:K28"/>
    <mergeCell ref="M28:O28"/>
    <mergeCell ref="P28:Q28"/>
    <mergeCell ref="A27:C27"/>
    <mergeCell ref="D27:F27"/>
    <mergeCell ref="G27:I27"/>
    <mergeCell ref="J27:L27"/>
    <mergeCell ref="M27:O27"/>
    <mergeCell ref="P27:R27"/>
    <mergeCell ref="A26:C26"/>
    <mergeCell ref="D26:E26"/>
    <mergeCell ref="G26:I26"/>
    <mergeCell ref="J26:K26"/>
    <mergeCell ref="M26:O26"/>
    <mergeCell ref="P26:Q26"/>
    <mergeCell ref="A25:C25"/>
    <mergeCell ref="D25:F25"/>
    <mergeCell ref="G25:I25"/>
    <mergeCell ref="J25:L25"/>
    <mergeCell ref="M25:O25"/>
    <mergeCell ref="P25:R25"/>
    <mergeCell ref="A24:C24"/>
    <mergeCell ref="D24:E24"/>
    <mergeCell ref="G24:I24"/>
    <mergeCell ref="J24:K24"/>
    <mergeCell ref="M24:O24"/>
    <mergeCell ref="P24:Q24"/>
    <mergeCell ref="A22:C22"/>
    <mergeCell ref="D22:E22"/>
    <mergeCell ref="G22:I22"/>
    <mergeCell ref="J22:K22"/>
    <mergeCell ref="M22:O22"/>
    <mergeCell ref="P22:Q22"/>
    <mergeCell ref="A21:C21"/>
    <mergeCell ref="D21:E21"/>
    <mergeCell ref="G21:I21"/>
    <mergeCell ref="J21:K21"/>
    <mergeCell ref="M21:O21"/>
    <mergeCell ref="P21:Q21"/>
    <mergeCell ref="A20:C20"/>
    <mergeCell ref="D20:E20"/>
    <mergeCell ref="G20:I20"/>
    <mergeCell ref="J20:K20"/>
    <mergeCell ref="M20:O20"/>
    <mergeCell ref="P20:Q20"/>
    <mergeCell ref="A18:C18"/>
    <mergeCell ref="D18:E18"/>
    <mergeCell ref="G18:I18"/>
    <mergeCell ref="J18:K18"/>
    <mergeCell ref="M18:O18"/>
    <mergeCell ref="P18:Q18"/>
    <mergeCell ref="A17:C17"/>
    <mergeCell ref="D17:E17"/>
    <mergeCell ref="G17:I17"/>
    <mergeCell ref="J17:K17"/>
    <mergeCell ref="M17:O17"/>
    <mergeCell ref="P17:Q17"/>
    <mergeCell ref="A16:C16"/>
    <mergeCell ref="D16:F16"/>
    <mergeCell ref="G16:I16"/>
    <mergeCell ref="J16:L16"/>
    <mergeCell ref="M16:O16"/>
    <mergeCell ref="P16:R16"/>
    <mergeCell ref="A15:C15"/>
    <mergeCell ref="D15:F15"/>
    <mergeCell ref="G15:I15"/>
    <mergeCell ref="J15:L15"/>
    <mergeCell ref="M15:O15"/>
    <mergeCell ref="P15:R15"/>
    <mergeCell ref="A14:C14"/>
    <mergeCell ref="D14:E14"/>
    <mergeCell ref="G14:I14"/>
    <mergeCell ref="J14:K14"/>
    <mergeCell ref="M14:O14"/>
    <mergeCell ref="P14:Q14"/>
    <mergeCell ref="A13:C13"/>
    <mergeCell ref="D13:E13"/>
    <mergeCell ref="G13:I13"/>
    <mergeCell ref="J13:K13"/>
    <mergeCell ref="M13:O13"/>
    <mergeCell ref="P13:Q13"/>
    <mergeCell ref="A12:C12"/>
    <mergeCell ref="D12:E12"/>
    <mergeCell ref="G12:I12"/>
    <mergeCell ref="J12:K12"/>
    <mergeCell ref="M12:O12"/>
    <mergeCell ref="P12:Q12"/>
    <mergeCell ref="A11:C11"/>
    <mergeCell ref="D11:E11"/>
    <mergeCell ref="G11:I11"/>
    <mergeCell ref="J11:K11"/>
    <mergeCell ref="M11:O11"/>
    <mergeCell ref="P11:Q11"/>
    <mergeCell ref="A10:C10"/>
    <mergeCell ref="D10:F10"/>
    <mergeCell ref="G10:I10"/>
    <mergeCell ref="J10:L10"/>
    <mergeCell ref="M10:O10"/>
    <mergeCell ref="P10:R10"/>
    <mergeCell ref="P8:Q8"/>
    <mergeCell ref="A9:C9"/>
    <mergeCell ref="D9:E9"/>
    <mergeCell ref="G9:I9"/>
    <mergeCell ref="J9:K9"/>
    <mergeCell ref="M9:O9"/>
    <mergeCell ref="P9:Q9"/>
    <mergeCell ref="A7:C7"/>
    <mergeCell ref="G7:I7"/>
    <mergeCell ref="M7:O7"/>
    <mergeCell ref="A8:C8"/>
    <mergeCell ref="D8:E8"/>
    <mergeCell ref="G8:I8"/>
    <mergeCell ref="J8:K8"/>
    <mergeCell ref="M8:O8"/>
    <mergeCell ref="A6:C6"/>
    <mergeCell ref="D6:F6"/>
    <mergeCell ref="G6:I6"/>
    <mergeCell ref="J6:L6"/>
    <mergeCell ref="M6:O6"/>
    <mergeCell ref="P6:R6"/>
    <mergeCell ref="A4:C4"/>
    <mergeCell ref="D4:R4"/>
    <mergeCell ref="A5:C5"/>
    <mergeCell ref="D5:F5"/>
    <mergeCell ref="G5:I5"/>
    <mergeCell ref="J5:L5"/>
    <mergeCell ref="M5:O5"/>
    <mergeCell ref="P5:R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4F8A4-962B-4544-B338-7F362563E95A}">
  <dimension ref="A1:AJ68"/>
  <sheetViews>
    <sheetView topLeftCell="Q2" zoomScale="85" zoomScaleNormal="85" workbookViewId="0">
      <selection activeCell="V62" sqref="V62"/>
    </sheetView>
  </sheetViews>
  <sheetFormatPr defaultRowHeight="14.25" x14ac:dyDescent="0.45"/>
  <sheetData>
    <row r="1" spans="1:36" ht="22.5" x14ac:dyDescent="0.45">
      <c r="A1" s="134" t="s">
        <v>232</v>
      </c>
      <c r="S1" s="134" t="s">
        <v>232</v>
      </c>
    </row>
    <row r="2" spans="1:36" ht="67.5" x14ac:dyDescent="0.45">
      <c r="A2" s="134" t="s">
        <v>369</v>
      </c>
      <c r="S2" s="134" t="s">
        <v>369</v>
      </c>
    </row>
    <row r="3" spans="1:36" x14ac:dyDescent="0.45">
      <c r="A3" s="89"/>
      <c r="B3" s="89"/>
      <c r="C3" s="89"/>
      <c r="D3" s="89"/>
      <c r="E3" s="89"/>
      <c r="F3" s="89"/>
      <c r="G3" s="89"/>
      <c r="H3" s="89"/>
      <c r="I3" s="89"/>
      <c r="J3" s="89"/>
      <c r="K3" s="89"/>
      <c r="L3" s="89"/>
      <c r="M3" s="89"/>
      <c r="N3" s="89"/>
      <c r="O3" s="89"/>
      <c r="P3" s="89"/>
      <c r="Q3" s="89"/>
      <c r="R3" s="89"/>
      <c r="S3" s="89"/>
      <c r="T3" s="89"/>
      <c r="U3" s="89"/>
      <c r="V3" s="89"/>
      <c r="W3" s="89"/>
      <c r="X3" s="89"/>
      <c r="Y3" s="89"/>
      <c r="Z3" s="89"/>
      <c r="AA3" s="89"/>
      <c r="AB3" s="89"/>
      <c r="AC3" s="89"/>
      <c r="AD3" s="89"/>
      <c r="AE3" s="89"/>
      <c r="AF3" s="89"/>
      <c r="AG3" s="89"/>
      <c r="AH3" s="89"/>
      <c r="AI3" s="89"/>
      <c r="AJ3" s="89"/>
    </row>
    <row r="4" spans="1:36" ht="15.4" thickBot="1" x14ac:dyDescent="0.5">
      <c r="A4" s="246"/>
      <c r="B4" s="246"/>
      <c r="C4" s="246"/>
      <c r="D4" s="284" t="s">
        <v>234</v>
      </c>
      <c r="E4" s="284"/>
      <c r="F4" s="284"/>
      <c r="G4" s="284"/>
      <c r="H4" s="284"/>
      <c r="I4" s="284"/>
      <c r="J4" s="284"/>
      <c r="K4" s="284"/>
      <c r="L4" s="284"/>
      <c r="M4" s="284"/>
      <c r="N4" s="284"/>
      <c r="O4" s="284"/>
      <c r="P4" s="284"/>
      <c r="Q4" s="284"/>
      <c r="R4" s="284"/>
      <c r="S4" s="246"/>
      <c r="T4" s="246"/>
      <c r="U4" s="246"/>
      <c r="V4" s="284" t="s">
        <v>234</v>
      </c>
      <c r="W4" s="284"/>
      <c r="X4" s="284"/>
      <c r="Y4" s="284"/>
      <c r="Z4" s="284"/>
      <c r="AA4" s="284"/>
      <c r="AB4" s="284"/>
      <c r="AC4" s="284"/>
      <c r="AD4" s="284"/>
      <c r="AE4" s="284"/>
      <c r="AF4" s="284"/>
      <c r="AG4" s="284"/>
      <c r="AH4" s="284"/>
      <c r="AI4" s="284"/>
      <c r="AJ4" s="284"/>
    </row>
    <row r="5" spans="1:36" ht="14.65" thickBot="1" x14ac:dyDescent="0.5">
      <c r="A5" s="285" t="s">
        <v>58</v>
      </c>
      <c r="B5" s="285"/>
      <c r="C5" s="285"/>
      <c r="D5" s="286">
        <v>2023</v>
      </c>
      <c r="E5" s="286"/>
      <c r="F5" s="286"/>
      <c r="G5" s="245"/>
      <c r="H5" s="245"/>
      <c r="I5" s="245"/>
      <c r="J5" s="286">
        <v>2022</v>
      </c>
      <c r="K5" s="286"/>
      <c r="L5" s="286"/>
      <c r="M5" s="245"/>
      <c r="N5" s="245"/>
      <c r="O5" s="245"/>
      <c r="P5" s="286">
        <v>2021</v>
      </c>
      <c r="Q5" s="286"/>
      <c r="R5" s="286"/>
      <c r="S5" s="285" t="s">
        <v>58</v>
      </c>
      <c r="T5" s="285"/>
      <c r="U5" s="285"/>
      <c r="V5" s="286">
        <v>2025</v>
      </c>
      <c r="W5" s="286"/>
      <c r="X5" s="286"/>
      <c r="Y5" s="245"/>
      <c r="Z5" s="245"/>
      <c r="AA5" s="245"/>
      <c r="AB5" s="286">
        <v>2024</v>
      </c>
      <c r="AC5" s="286"/>
      <c r="AD5" s="286"/>
      <c r="AE5" s="245"/>
      <c r="AF5" s="245"/>
      <c r="AG5" s="245"/>
      <c r="AH5" s="286">
        <v>2023</v>
      </c>
      <c r="AI5" s="286"/>
      <c r="AJ5" s="286"/>
    </row>
    <row r="6" spans="1:36" x14ac:dyDescent="0.45">
      <c r="A6" s="283" t="s">
        <v>370</v>
      </c>
      <c r="B6" s="283"/>
      <c r="C6" s="283"/>
      <c r="D6" s="245"/>
      <c r="E6" s="245"/>
      <c r="F6" s="245"/>
      <c r="G6" s="246"/>
      <c r="H6" s="246"/>
      <c r="I6" s="246"/>
      <c r="J6" s="245"/>
      <c r="K6" s="245"/>
      <c r="L6" s="245"/>
      <c r="M6" s="246"/>
      <c r="N6" s="246"/>
      <c r="O6" s="246"/>
      <c r="P6" s="245"/>
      <c r="Q6" s="245"/>
      <c r="R6" s="245"/>
      <c r="S6" s="283" t="s">
        <v>370</v>
      </c>
      <c r="T6" s="283"/>
      <c r="U6" s="283"/>
      <c r="V6" s="245"/>
      <c r="W6" s="245"/>
      <c r="X6" s="245"/>
      <c r="Y6" s="246"/>
      <c r="Z6" s="246"/>
      <c r="AA6" s="246"/>
      <c r="AB6" s="245"/>
      <c r="AC6" s="245"/>
      <c r="AD6" s="245"/>
      <c r="AE6" s="246"/>
      <c r="AF6" s="246"/>
      <c r="AG6" s="246"/>
      <c r="AH6" s="245"/>
      <c r="AI6" s="245"/>
      <c r="AJ6" s="245"/>
    </row>
    <row r="7" spans="1:36" x14ac:dyDescent="0.45">
      <c r="A7" s="289" t="s">
        <v>344</v>
      </c>
      <c r="B7" s="289"/>
      <c r="C7" s="289"/>
      <c r="D7" s="135" t="s">
        <v>64</v>
      </c>
      <c r="E7" s="136" t="s">
        <v>294</v>
      </c>
      <c r="F7" s="92"/>
      <c r="G7" s="253"/>
      <c r="H7" s="253"/>
      <c r="I7" s="253"/>
      <c r="J7" s="135" t="s">
        <v>64</v>
      </c>
      <c r="K7" s="137">
        <v>-9547</v>
      </c>
      <c r="L7" s="92"/>
      <c r="M7" s="253"/>
      <c r="N7" s="253"/>
      <c r="O7" s="253"/>
      <c r="P7" s="135" t="s">
        <v>64</v>
      </c>
      <c r="Q7" s="137">
        <v>-78298</v>
      </c>
      <c r="R7" s="92"/>
      <c r="S7" s="289" t="s">
        <v>291</v>
      </c>
      <c r="T7" s="289"/>
      <c r="U7" s="289"/>
      <c r="V7" s="135" t="s">
        <v>64</v>
      </c>
      <c r="W7" s="136" t="s">
        <v>292</v>
      </c>
      <c r="X7" s="92"/>
      <c r="Y7" s="253"/>
      <c r="Z7" s="253"/>
      <c r="AA7" s="253"/>
      <c r="AB7" s="135" t="s">
        <v>64</v>
      </c>
      <c r="AC7" s="136" t="s">
        <v>293</v>
      </c>
      <c r="AD7" s="92"/>
      <c r="AE7" s="253"/>
      <c r="AF7" s="253"/>
      <c r="AG7" s="253"/>
      <c r="AH7" s="135" t="s">
        <v>64</v>
      </c>
      <c r="AI7" s="136" t="s">
        <v>294</v>
      </c>
      <c r="AJ7" s="92"/>
    </row>
    <row r="8" spans="1:36" ht="20.25" customHeight="1" x14ac:dyDescent="0.45">
      <c r="A8" s="290" t="s">
        <v>371</v>
      </c>
      <c r="B8" s="290"/>
      <c r="C8" s="290"/>
      <c r="D8" s="256"/>
      <c r="E8" s="256"/>
      <c r="F8" s="256"/>
      <c r="G8" s="256"/>
      <c r="H8" s="256"/>
      <c r="I8" s="256"/>
      <c r="J8" s="256"/>
      <c r="K8" s="256"/>
      <c r="L8" s="256"/>
      <c r="M8" s="256"/>
      <c r="N8" s="256"/>
      <c r="O8" s="256"/>
      <c r="P8" s="256"/>
      <c r="Q8" s="256"/>
      <c r="R8" s="256"/>
      <c r="S8" s="311" t="s">
        <v>479</v>
      </c>
      <c r="T8" s="311"/>
      <c r="U8" s="311"/>
      <c r="V8" s="256"/>
      <c r="W8" s="256"/>
      <c r="X8" s="256"/>
      <c r="Y8" s="256"/>
      <c r="Z8" s="256"/>
      <c r="AA8" s="256"/>
      <c r="AB8" s="256"/>
      <c r="AC8" s="256"/>
      <c r="AD8" s="256"/>
      <c r="AE8" s="256"/>
      <c r="AF8" s="256"/>
      <c r="AG8" s="256"/>
      <c r="AH8" s="256"/>
      <c r="AI8" s="256"/>
      <c r="AJ8" s="256"/>
    </row>
    <row r="9" spans="1:36" ht="20.25" customHeight="1" x14ac:dyDescent="0.45">
      <c r="A9" s="287" t="s">
        <v>372</v>
      </c>
      <c r="B9" s="287"/>
      <c r="C9" s="287"/>
      <c r="D9" s="288" t="s">
        <v>373</v>
      </c>
      <c r="E9" s="288"/>
      <c r="F9" s="92"/>
      <c r="G9" s="253"/>
      <c r="H9" s="253"/>
      <c r="I9" s="253"/>
      <c r="J9" s="288" t="s">
        <v>374</v>
      </c>
      <c r="K9" s="288"/>
      <c r="L9" s="92"/>
      <c r="M9" s="253"/>
      <c r="N9" s="253"/>
      <c r="O9" s="253"/>
      <c r="P9" s="288" t="s">
        <v>375</v>
      </c>
      <c r="Q9" s="288"/>
      <c r="R9" s="92"/>
      <c r="S9" s="287" t="s">
        <v>372</v>
      </c>
      <c r="T9" s="287"/>
      <c r="U9" s="287"/>
      <c r="V9" s="288" t="s">
        <v>480</v>
      </c>
      <c r="W9" s="288"/>
      <c r="X9" s="92"/>
      <c r="Y9" s="253"/>
      <c r="Z9" s="253"/>
      <c r="AA9" s="253"/>
      <c r="AB9" s="288" t="s">
        <v>481</v>
      </c>
      <c r="AC9" s="288"/>
      <c r="AD9" s="92"/>
      <c r="AE9" s="253"/>
      <c r="AF9" s="253"/>
      <c r="AG9" s="253"/>
      <c r="AH9" s="288" t="s">
        <v>373</v>
      </c>
      <c r="AI9" s="288"/>
      <c r="AJ9" s="92"/>
    </row>
    <row r="10" spans="1:36" x14ac:dyDescent="0.45">
      <c r="A10" s="291" t="s">
        <v>376</v>
      </c>
      <c r="B10" s="291"/>
      <c r="C10" s="291"/>
      <c r="D10" s="292" t="s">
        <v>377</v>
      </c>
      <c r="E10" s="292"/>
      <c r="F10" s="94"/>
      <c r="G10" s="256"/>
      <c r="H10" s="256"/>
      <c r="I10" s="256"/>
      <c r="J10" s="292" t="s">
        <v>378</v>
      </c>
      <c r="K10" s="292"/>
      <c r="L10" s="94"/>
      <c r="M10" s="256"/>
      <c r="N10" s="256"/>
      <c r="O10" s="256"/>
      <c r="P10" s="292" t="s">
        <v>379</v>
      </c>
      <c r="Q10" s="292"/>
      <c r="R10" s="94"/>
      <c r="S10" s="291" t="s">
        <v>376</v>
      </c>
      <c r="T10" s="291"/>
      <c r="U10" s="291"/>
      <c r="V10" s="292" t="s">
        <v>471</v>
      </c>
      <c r="W10" s="292"/>
      <c r="X10" s="94"/>
      <c r="Y10" s="256"/>
      <c r="Z10" s="256"/>
      <c r="AA10" s="256"/>
      <c r="AB10" s="292" t="s">
        <v>482</v>
      </c>
      <c r="AC10" s="292"/>
      <c r="AD10" s="94"/>
      <c r="AE10" s="256"/>
      <c r="AF10" s="256"/>
      <c r="AG10" s="256"/>
      <c r="AH10" s="292" t="s">
        <v>377</v>
      </c>
      <c r="AI10" s="292"/>
      <c r="AJ10" s="94"/>
    </row>
    <row r="11" spans="1:36" x14ac:dyDescent="0.45">
      <c r="A11" s="287" t="s">
        <v>380</v>
      </c>
      <c r="B11" s="287"/>
      <c r="C11" s="287"/>
      <c r="D11" s="288" t="s">
        <v>381</v>
      </c>
      <c r="E11" s="288"/>
      <c r="F11" s="92"/>
      <c r="G11" s="253"/>
      <c r="H11" s="253"/>
      <c r="I11" s="253"/>
      <c r="J11" s="288" t="s">
        <v>382</v>
      </c>
      <c r="K11" s="288"/>
      <c r="L11" s="92"/>
      <c r="M11" s="253"/>
      <c r="N11" s="253"/>
      <c r="O11" s="253"/>
      <c r="P11" s="288" t="s">
        <v>383</v>
      </c>
      <c r="Q11" s="288"/>
      <c r="R11" s="92"/>
      <c r="S11" s="287" t="s">
        <v>380</v>
      </c>
      <c r="T11" s="287"/>
      <c r="U11" s="287"/>
      <c r="V11" s="288" t="s">
        <v>483</v>
      </c>
      <c r="W11" s="288"/>
      <c r="X11" s="92"/>
      <c r="Y11" s="253"/>
      <c r="Z11" s="253"/>
      <c r="AA11" s="253"/>
      <c r="AB11" s="288" t="s">
        <v>484</v>
      </c>
      <c r="AC11" s="288"/>
      <c r="AD11" s="92"/>
      <c r="AE11" s="253"/>
      <c r="AF11" s="253"/>
      <c r="AG11" s="253"/>
      <c r="AH11" s="288" t="s">
        <v>381</v>
      </c>
      <c r="AI11" s="288"/>
      <c r="AJ11" s="92"/>
    </row>
    <row r="12" spans="1:36" x14ac:dyDescent="0.45">
      <c r="A12" s="291" t="s">
        <v>384</v>
      </c>
      <c r="B12" s="291"/>
      <c r="C12" s="291"/>
      <c r="D12" s="292" t="s">
        <v>385</v>
      </c>
      <c r="E12" s="292"/>
      <c r="F12" s="94"/>
      <c r="G12" s="256"/>
      <c r="H12" s="256"/>
      <c r="I12" s="256"/>
      <c r="J12" s="292" t="s">
        <v>386</v>
      </c>
      <c r="K12" s="292"/>
      <c r="L12" s="94"/>
      <c r="M12" s="256"/>
      <c r="N12" s="256"/>
      <c r="O12" s="256"/>
      <c r="P12" s="292" t="s">
        <v>387</v>
      </c>
      <c r="Q12" s="292"/>
      <c r="R12" s="94"/>
      <c r="S12" s="291" t="s">
        <v>384</v>
      </c>
      <c r="T12" s="291"/>
      <c r="U12" s="291"/>
      <c r="V12" s="292" t="s">
        <v>485</v>
      </c>
      <c r="W12" s="292"/>
      <c r="X12" s="94"/>
      <c r="Y12" s="256"/>
      <c r="Z12" s="256"/>
      <c r="AA12" s="256"/>
      <c r="AB12" s="292" t="s">
        <v>486</v>
      </c>
      <c r="AC12" s="292"/>
      <c r="AD12" s="94"/>
      <c r="AE12" s="256"/>
      <c r="AF12" s="256"/>
      <c r="AG12" s="256"/>
      <c r="AH12" s="292" t="s">
        <v>385</v>
      </c>
      <c r="AI12" s="292"/>
      <c r="AJ12" s="94"/>
    </row>
    <row r="13" spans="1:36" x14ac:dyDescent="0.45">
      <c r="S13" s="287" t="s">
        <v>388</v>
      </c>
      <c r="T13" s="287"/>
      <c r="U13" s="287"/>
      <c r="V13" s="288" t="s">
        <v>487</v>
      </c>
      <c r="W13" s="288"/>
      <c r="X13" s="92"/>
      <c r="Y13" s="253"/>
      <c r="Z13" s="253"/>
      <c r="AA13" s="253"/>
      <c r="AB13" s="293">
        <v>-38791</v>
      </c>
      <c r="AC13" s="293"/>
      <c r="AD13" s="92"/>
      <c r="AE13" s="253"/>
      <c r="AF13" s="253"/>
      <c r="AG13" s="253"/>
      <c r="AH13" s="293">
        <v>-34646</v>
      </c>
      <c r="AI13" s="293"/>
      <c r="AJ13" s="92"/>
    </row>
    <row r="14" spans="1:36" x14ac:dyDescent="0.45">
      <c r="A14" s="287" t="s">
        <v>388</v>
      </c>
      <c r="B14" s="287"/>
      <c r="C14" s="287"/>
      <c r="D14" s="293">
        <v>-34646</v>
      </c>
      <c r="E14" s="293"/>
      <c r="F14" s="92"/>
      <c r="G14" s="253"/>
      <c r="H14" s="253"/>
      <c r="I14" s="253"/>
      <c r="J14" s="293">
        <v>-32635</v>
      </c>
      <c r="K14" s="293"/>
      <c r="L14" s="92"/>
      <c r="M14" s="253"/>
      <c r="N14" s="253"/>
      <c r="O14" s="253"/>
      <c r="P14" s="293">
        <v>-85574</v>
      </c>
      <c r="Q14" s="293"/>
      <c r="R14" s="92"/>
      <c r="S14" s="312" t="s">
        <v>269</v>
      </c>
      <c r="T14" s="312"/>
      <c r="U14" s="312"/>
      <c r="V14" s="292" t="s">
        <v>270</v>
      </c>
      <c r="W14" s="292"/>
      <c r="X14" s="94"/>
      <c r="Y14" s="256"/>
      <c r="Z14" s="256"/>
      <c r="AA14" s="256"/>
      <c r="AB14" s="292" t="s">
        <v>271</v>
      </c>
      <c r="AC14" s="292"/>
      <c r="AD14" s="94"/>
      <c r="AE14" s="256"/>
      <c r="AF14" s="256"/>
      <c r="AG14" s="256"/>
      <c r="AH14" s="292" t="s">
        <v>272</v>
      </c>
      <c r="AI14" s="292"/>
      <c r="AJ14" s="94"/>
    </row>
    <row r="16" spans="1:36" x14ac:dyDescent="0.45">
      <c r="A16" s="291" t="s">
        <v>332</v>
      </c>
      <c r="B16" s="291"/>
      <c r="C16" s="291"/>
      <c r="D16" s="292" t="s">
        <v>272</v>
      </c>
      <c r="E16" s="292"/>
      <c r="F16" s="94"/>
      <c r="G16" s="256"/>
      <c r="H16" s="256"/>
      <c r="I16" s="256"/>
      <c r="J16" s="292" t="s">
        <v>333</v>
      </c>
      <c r="K16" s="292"/>
      <c r="L16" s="94"/>
      <c r="M16" s="256"/>
      <c r="N16" s="256"/>
      <c r="O16" s="256"/>
      <c r="P16" s="292" t="s">
        <v>334</v>
      </c>
      <c r="Q16" s="292"/>
      <c r="R16" s="94"/>
      <c r="S16" s="287" t="s">
        <v>391</v>
      </c>
      <c r="T16" s="287"/>
      <c r="U16" s="287"/>
      <c r="V16" s="288">
        <v>-25</v>
      </c>
      <c r="W16" s="288"/>
      <c r="X16" s="92"/>
      <c r="Y16" s="253"/>
      <c r="Z16" s="253"/>
      <c r="AA16" s="253"/>
      <c r="AB16" s="288">
        <v>-191</v>
      </c>
      <c r="AC16" s="288"/>
      <c r="AD16" s="92"/>
      <c r="AE16" s="253"/>
      <c r="AF16" s="253"/>
      <c r="AG16" s="253"/>
      <c r="AH16" s="288" t="s">
        <v>392</v>
      </c>
      <c r="AI16" s="288"/>
      <c r="AJ16" s="92"/>
    </row>
    <row r="17" spans="1:36" x14ac:dyDescent="0.45">
      <c r="A17" s="287" t="s">
        <v>389</v>
      </c>
      <c r="B17" s="287"/>
      <c r="C17" s="287"/>
      <c r="D17" s="288" t="s">
        <v>68</v>
      </c>
      <c r="E17" s="288"/>
      <c r="F17" s="92"/>
      <c r="G17" s="253"/>
      <c r="H17" s="253"/>
      <c r="I17" s="253"/>
      <c r="J17" s="288" t="s">
        <v>68</v>
      </c>
      <c r="K17" s="288"/>
      <c r="L17" s="92"/>
      <c r="M17" s="253"/>
      <c r="N17" s="253"/>
      <c r="O17" s="253"/>
      <c r="P17" s="288" t="s">
        <v>390</v>
      </c>
      <c r="Q17" s="288"/>
      <c r="R17" s="92"/>
      <c r="S17" s="291" t="s">
        <v>394</v>
      </c>
      <c r="T17" s="291"/>
      <c r="U17" s="291"/>
      <c r="V17" s="297">
        <v>-2237</v>
      </c>
      <c r="W17" s="297"/>
      <c r="X17" s="94"/>
      <c r="Y17" s="256"/>
      <c r="Z17" s="256"/>
      <c r="AA17" s="256"/>
      <c r="AB17" s="292">
        <v>-895</v>
      </c>
      <c r="AC17" s="292"/>
      <c r="AD17" s="94"/>
      <c r="AE17" s="256"/>
      <c r="AF17" s="256"/>
      <c r="AG17" s="256"/>
      <c r="AH17" s="292">
        <v>-169</v>
      </c>
      <c r="AI17" s="292"/>
      <c r="AJ17" s="94"/>
    </row>
    <row r="18" spans="1:36" ht="20.25" customHeight="1" x14ac:dyDescent="0.45">
      <c r="A18" s="291" t="s">
        <v>335</v>
      </c>
      <c r="B18" s="291"/>
      <c r="C18" s="291"/>
      <c r="D18" s="292" t="s">
        <v>68</v>
      </c>
      <c r="E18" s="292"/>
      <c r="F18" s="94"/>
      <c r="G18" s="256"/>
      <c r="H18" s="256"/>
      <c r="I18" s="256"/>
      <c r="J18" s="292" t="s">
        <v>336</v>
      </c>
      <c r="K18" s="292"/>
      <c r="L18" s="94"/>
      <c r="M18" s="256"/>
      <c r="N18" s="256"/>
      <c r="O18" s="256"/>
      <c r="P18" s="292" t="s">
        <v>68</v>
      </c>
      <c r="Q18" s="292"/>
      <c r="R18" s="94"/>
      <c r="S18" s="313" t="s">
        <v>488</v>
      </c>
      <c r="T18" s="313"/>
      <c r="U18" s="313"/>
      <c r="V18" s="253"/>
      <c r="W18" s="253"/>
      <c r="X18" s="253"/>
      <c r="Y18" s="253"/>
      <c r="Z18" s="253"/>
      <c r="AA18" s="253"/>
      <c r="AB18" s="253"/>
      <c r="AC18" s="253"/>
      <c r="AD18" s="253"/>
      <c r="AE18" s="253"/>
      <c r="AF18" s="253"/>
      <c r="AG18" s="253"/>
      <c r="AH18" s="253"/>
      <c r="AI18" s="253"/>
      <c r="AJ18" s="253"/>
    </row>
    <row r="19" spans="1:36" x14ac:dyDescent="0.45">
      <c r="A19" s="287" t="s">
        <v>391</v>
      </c>
      <c r="B19" s="287"/>
      <c r="C19" s="287"/>
      <c r="D19" s="288" t="s">
        <v>392</v>
      </c>
      <c r="E19" s="288"/>
      <c r="F19" s="92"/>
      <c r="G19" s="253"/>
      <c r="H19" s="253"/>
      <c r="I19" s="253"/>
      <c r="J19" s="288">
        <v>-624</v>
      </c>
      <c r="K19" s="288"/>
      <c r="L19" s="92"/>
      <c r="M19" s="253"/>
      <c r="N19" s="253"/>
      <c r="O19" s="253"/>
      <c r="P19" s="288" t="s">
        <v>393</v>
      </c>
      <c r="Q19" s="288"/>
      <c r="R19" s="92"/>
      <c r="S19" s="296" t="s">
        <v>398</v>
      </c>
      <c r="T19" s="296"/>
      <c r="U19" s="296"/>
      <c r="V19" s="297">
        <v>-4215</v>
      </c>
      <c r="W19" s="297"/>
      <c r="X19" s="94"/>
      <c r="Y19" s="256"/>
      <c r="Z19" s="256"/>
      <c r="AA19" s="256"/>
      <c r="AB19" s="297">
        <v>-49138</v>
      </c>
      <c r="AC19" s="297"/>
      <c r="AD19" s="94"/>
      <c r="AE19" s="256"/>
      <c r="AF19" s="256"/>
      <c r="AG19" s="256"/>
      <c r="AH19" s="297">
        <v>-19494</v>
      </c>
      <c r="AI19" s="297"/>
      <c r="AJ19" s="94"/>
    </row>
    <row r="20" spans="1:36" x14ac:dyDescent="0.45">
      <c r="A20" s="291" t="s">
        <v>394</v>
      </c>
      <c r="B20" s="291"/>
      <c r="C20" s="291"/>
      <c r="D20" s="292">
        <v>-169</v>
      </c>
      <c r="E20" s="292"/>
      <c r="F20" s="94"/>
      <c r="G20" s="256"/>
      <c r="H20" s="256"/>
      <c r="I20" s="256"/>
      <c r="J20" s="292" t="s">
        <v>395</v>
      </c>
      <c r="K20" s="292"/>
      <c r="L20" s="94"/>
      <c r="M20" s="256"/>
      <c r="N20" s="256"/>
      <c r="O20" s="256"/>
      <c r="P20" s="292" t="s">
        <v>396</v>
      </c>
      <c r="Q20" s="292"/>
      <c r="R20" s="94"/>
      <c r="S20" s="295" t="s">
        <v>401</v>
      </c>
      <c r="T20" s="295"/>
      <c r="U20" s="295"/>
      <c r="V20" s="288" t="s">
        <v>489</v>
      </c>
      <c r="W20" s="288"/>
      <c r="X20" s="92"/>
      <c r="Y20" s="253"/>
      <c r="Z20" s="253"/>
      <c r="AA20" s="253"/>
      <c r="AB20" s="288" t="s">
        <v>490</v>
      </c>
      <c r="AC20" s="288"/>
      <c r="AD20" s="92"/>
      <c r="AE20" s="253"/>
      <c r="AF20" s="253"/>
      <c r="AG20" s="253"/>
      <c r="AH20" s="293">
        <v>-52118</v>
      </c>
      <c r="AI20" s="293"/>
      <c r="AJ20" s="92"/>
    </row>
    <row r="21" spans="1:36" ht="20.25" customHeight="1" x14ac:dyDescent="0.45">
      <c r="A21" s="294" t="s">
        <v>397</v>
      </c>
      <c r="B21" s="294"/>
      <c r="C21" s="294"/>
      <c r="D21" s="253"/>
      <c r="E21" s="253"/>
      <c r="F21" s="253"/>
      <c r="G21" s="253"/>
      <c r="H21" s="253"/>
      <c r="I21" s="253"/>
      <c r="J21" s="253"/>
      <c r="K21" s="253"/>
      <c r="L21" s="253"/>
      <c r="M21" s="253"/>
      <c r="N21" s="253"/>
      <c r="O21" s="253"/>
      <c r="P21" s="253"/>
      <c r="Q21" s="253"/>
      <c r="R21" s="253"/>
      <c r="S21" s="296" t="s">
        <v>402</v>
      </c>
      <c r="T21" s="296"/>
      <c r="U21" s="296"/>
      <c r="V21" s="297">
        <v>-43120</v>
      </c>
      <c r="W21" s="297"/>
      <c r="X21" s="94"/>
      <c r="Y21" s="256"/>
      <c r="Z21" s="256"/>
      <c r="AA21" s="256"/>
      <c r="AB21" s="292" t="s">
        <v>491</v>
      </c>
      <c r="AC21" s="292"/>
      <c r="AD21" s="94"/>
      <c r="AE21" s="256"/>
      <c r="AF21" s="256"/>
      <c r="AG21" s="256"/>
      <c r="AH21" s="297">
        <v>-42410</v>
      </c>
      <c r="AI21" s="297"/>
      <c r="AJ21" s="94"/>
    </row>
    <row r="22" spans="1:36" x14ac:dyDescent="0.45">
      <c r="A22" s="296" t="s">
        <v>398</v>
      </c>
      <c r="B22" s="296"/>
      <c r="C22" s="296"/>
      <c r="D22" s="297">
        <v>-19494</v>
      </c>
      <c r="E22" s="297"/>
      <c r="F22" s="94"/>
      <c r="G22" s="256"/>
      <c r="H22" s="256"/>
      <c r="I22" s="256"/>
      <c r="J22" s="292" t="s">
        <v>399</v>
      </c>
      <c r="K22" s="292"/>
      <c r="L22" s="94"/>
      <c r="M22" s="256"/>
      <c r="N22" s="256"/>
      <c r="O22" s="256"/>
      <c r="P22" s="292" t="s">
        <v>400</v>
      </c>
      <c r="Q22" s="292"/>
      <c r="R22" s="94"/>
      <c r="S22" s="295" t="s">
        <v>404</v>
      </c>
      <c r="T22" s="295"/>
      <c r="U22" s="295"/>
      <c r="V22" s="293">
        <v>-13125</v>
      </c>
      <c r="W22" s="293"/>
      <c r="X22" s="92"/>
      <c r="Y22" s="253"/>
      <c r="Z22" s="253"/>
      <c r="AA22" s="253"/>
      <c r="AB22" s="293">
        <v>-6789</v>
      </c>
      <c r="AC22" s="293"/>
      <c r="AD22" s="92"/>
      <c r="AE22" s="253"/>
      <c r="AF22" s="253"/>
      <c r="AG22" s="253"/>
      <c r="AH22" s="288" t="s">
        <v>405</v>
      </c>
      <c r="AI22" s="288"/>
      <c r="AJ22" s="92"/>
    </row>
    <row r="23" spans="1:36" ht="20.25" customHeight="1" x14ac:dyDescent="0.45">
      <c r="A23" s="295" t="s">
        <v>401</v>
      </c>
      <c r="B23" s="295"/>
      <c r="C23" s="295"/>
      <c r="D23" s="293">
        <v>-52118</v>
      </c>
      <c r="E23" s="293"/>
      <c r="F23" s="92"/>
      <c r="G23" s="253"/>
      <c r="H23" s="253"/>
      <c r="I23" s="253"/>
      <c r="J23" s="293">
        <v>-68124</v>
      </c>
      <c r="K23" s="293"/>
      <c r="L23" s="92"/>
      <c r="M23" s="253"/>
      <c r="N23" s="253"/>
      <c r="O23" s="253"/>
      <c r="P23" s="293">
        <v>-3721</v>
      </c>
      <c r="Q23" s="293"/>
      <c r="R23" s="92"/>
      <c r="S23" s="296" t="s">
        <v>407</v>
      </c>
      <c r="T23" s="296"/>
      <c r="U23" s="296"/>
      <c r="V23" s="292" t="s">
        <v>492</v>
      </c>
      <c r="W23" s="292"/>
      <c r="X23" s="94"/>
      <c r="Y23" s="256"/>
      <c r="Z23" s="256"/>
      <c r="AA23" s="256"/>
      <c r="AB23" s="297">
        <v>-35388</v>
      </c>
      <c r="AC23" s="297"/>
      <c r="AD23" s="94"/>
      <c r="AE23" s="256"/>
      <c r="AF23" s="256"/>
      <c r="AG23" s="256"/>
      <c r="AH23" s="297">
        <v>-43657</v>
      </c>
      <c r="AI23" s="297"/>
      <c r="AJ23" s="94"/>
    </row>
    <row r="24" spans="1:36" x14ac:dyDescent="0.45">
      <c r="A24" s="296" t="s">
        <v>402</v>
      </c>
      <c r="B24" s="296"/>
      <c r="C24" s="296"/>
      <c r="D24" s="297">
        <v>-42410</v>
      </c>
      <c r="E24" s="297"/>
      <c r="F24" s="94"/>
      <c r="G24" s="256"/>
      <c r="H24" s="256"/>
      <c r="I24" s="256"/>
      <c r="J24" s="297">
        <v>-16695</v>
      </c>
      <c r="K24" s="297"/>
      <c r="L24" s="94"/>
      <c r="M24" s="256"/>
      <c r="N24" s="256"/>
      <c r="O24" s="256"/>
      <c r="P24" s="292" t="s">
        <v>403</v>
      </c>
      <c r="Q24" s="292"/>
      <c r="R24" s="94"/>
      <c r="S24" s="295" t="s">
        <v>409</v>
      </c>
      <c r="T24" s="295"/>
      <c r="U24" s="295"/>
      <c r="V24" s="293">
        <v>-18623</v>
      </c>
      <c r="W24" s="293"/>
      <c r="X24" s="92"/>
      <c r="Y24" s="253"/>
      <c r="Z24" s="253"/>
      <c r="AA24" s="253"/>
      <c r="AB24" s="288" t="s">
        <v>493</v>
      </c>
      <c r="AC24" s="288"/>
      <c r="AD24" s="92"/>
      <c r="AE24" s="253"/>
      <c r="AF24" s="253"/>
      <c r="AG24" s="253"/>
      <c r="AH24" s="288" t="s">
        <v>410</v>
      </c>
      <c r="AI24" s="288"/>
      <c r="AJ24" s="92"/>
    </row>
    <row r="25" spans="1:36" x14ac:dyDescent="0.45">
      <c r="A25" s="295" t="s">
        <v>404</v>
      </c>
      <c r="B25" s="295"/>
      <c r="C25" s="295"/>
      <c r="D25" s="288" t="s">
        <v>405</v>
      </c>
      <c r="E25" s="288"/>
      <c r="F25" s="92"/>
      <c r="G25" s="253"/>
      <c r="H25" s="253"/>
      <c r="I25" s="253"/>
      <c r="J25" s="293">
        <v>-5436</v>
      </c>
      <c r="K25" s="293"/>
      <c r="L25" s="92"/>
      <c r="M25" s="253"/>
      <c r="N25" s="253"/>
      <c r="O25" s="253"/>
      <c r="P25" s="288" t="s">
        <v>406</v>
      </c>
      <c r="Q25" s="288"/>
      <c r="R25" s="92"/>
      <c r="S25" s="296" t="s">
        <v>412</v>
      </c>
      <c r="T25" s="296"/>
      <c r="U25" s="296"/>
      <c r="V25" s="292" t="s">
        <v>494</v>
      </c>
      <c r="W25" s="292"/>
      <c r="X25" s="94"/>
      <c r="Y25" s="256"/>
      <c r="Z25" s="256"/>
      <c r="AA25" s="256"/>
      <c r="AB25" s="292" t="s">
        <v>495</v>
      </c>
      <c r="AC25" s="292"/>
      <c r="AD25" s="94"/>
      <c r="AE25" s="256"/>
      <c r="AF25" s="256"/>
      <c r="AG25" s="256"/>
      <c r="AH25" s="292" t="s">
        <v>413</v>
      </c>
      <c r="AI25" s="292"/>
      <c r="AJ25" s="94"/>
    </row>
    <row r="26" spans="1:36" ht="20.25" customHeight="1" x14ac:dyDescent="0.45">
      <c r="A26" s="296" t="s">
        <v>407</v>
      </c>
      <c r="B26" s="296"/>
      <c r="C26" s="296"/>
      <c r="D26" s="297">
        <v>-43657</v>
      </c>
      <c r="E26" s="297"/>
      <c r="F26" s="94"/>
      <c r="G26" s="256"/>
      <c r="H26" s="256"/>
      <c r="I26" s="256"/>
      <c r="J26" s="292" t="s">
        <v>408</v>
      </c>
      <c r="K26" s="292"/>
      <c r="L26" s="94"/>
      <c r="M26" s="256"/>
      <c r="N26" s="256"/>
      <c r="O26" s="256"/>
      <c r="P26" s="297">
        <v>-23330</v>
      </c>
      <c r="Q26" s="297"/>
      <c r="R26" s="94"/>
      <c r="S26" s="295" t="s">
        <v>415</v>
      </c>
      <c r="T26" s="295"/>
      <c r="U26" s="295"/>
      <c r="V26" s="293">
        <v>-4436</v>
      </c>
      <c r="W26" s="293"/>
      <c r="X26" s="92"/>
      <c r="Y26" s="253"/>
      <c r="Z26" s="253"/>
      <c r="AA26" s="253"/>
      <c r="AB26" s="288" t="s">
        <v>496</v>
      </c>
      <c r="AC26" s="288"/>
      <c r="AD26" s="92"/>
      <c r="AE26" s="253"/>
      <c r="AF26" s="253"/>
      <c r="AG26" s="253"/>
      <c r="AH26" s="293">
        <v>-3778</v>
      </c>
      <c r="AI26" s="293"/>
      <c r="AJ26" s="92"/>
    </row>
    <row r="27" spans="1:36" x14ac:dyDescent="0.45">
      <c r="A27" s="295" t="s">
        <v>409</v>
      </c>
      <c r="B27" s="295"/>
      <c r="C27" s="295"/>
      <c r="D27" s="288" t="s">
        <v>410</v>
      </c>
      <c r="E27" s="288"/>
      <c r="F27" s="92"/>
      <c r="G27" s="253"/>
      <c r="H27" s="253"/>
      <c r="I27" s="253"/>
      <c r="J27" s="293">
        <v>-21749</v>
      </c>
      <c r="K27" s="293"/>
      <c r="L27" s="92"/>
      <c r="M27" s="253"/>
      <c r="N27" s="253"/>
      <c r="O27" s="253"/>
      <c r="P27" s="288" t="s">
        <v>411</v>
      </c>
      <c r="Q27" s="288"/>
      <c r="R27" s="92"/>
      <c r="S27" s="296" t="s">
        <v>265</v>
      </c>
      <c r="T27" s="296"/>
      <c r="U27" s="296"/>
      <c r="V27" s="297">
        <v>-22427</v>
      </c>
      <c r="W27" s="297"/>
      <c r="X27" s="94"/>
      <c r="Y27" s="256"/>
      <c r="Z27" s="256"/>
      <c r="AA27" s="256"/>
      <c r="AB27" s="297">
        <v>-31011</v>
      </c>
      <c r="AC27" s="297"/>
      <c r="AD27" s="94"/>
      <c r="AE27" s="256"/>
      <c r="AF27" s="256"/>
      <c r="AG27" s="256"/>
      <c r="AH27" s="292" t="s">
        <v>416</v>
      </c>
      <c r="AI27" s="292"/>
      <c r="AJ27" s="94"/>
    </row>
    <row r="28" spans="1:36" ht="14.65" thickBot="1" x14ac:dyDescent="0.5">
      <c r="A28" s="296" t="s">
        <v>412</v>
      </c>
      <c r="B28" s="296"/>
      <c r="C28" s="296"/>
      <c r="D28" s="292" t="s">
        <v>413</v>
      </c>
      <c r="E28" s="292"/>
      <c r="F28" s="94"/>
      <c r="G28" s="256"/>
      <c r="H28" s="256"/>
      <c r="I28" s="256"/>
      <c r="J28" s="292" t="s">
        <v>414</v>
      </c>
      <c r="K28" s="292"/>
      <c r="L28" s="94"/>
      <c r="M28" s="256"/>
      <c r="N28" s="256"/>
      <c r="O28" s="256"/>
      <c r="P28" s="297">
        <v>-29366</v>
      </c>
      <c r="Q28" s="297"/>
      <c r="R28" s="94"/>
      <c r="S28" s="295" t="s">
        <v>418</v>
      </c>
      <c r="T28" s="295"/>
      <c r="U28" s="295"/>
      <c r="V28" s="299">
        <v>-52739</v>
      </c>
      <c r="W28" s="299"/>
      <c r="X28" s="92"/>
      <c r="Y28" s="253"/>
      <c r="Z28" s="253"/>
      <c r="AA28" s="253"/>
      <c r="AB28" s="299">
        <v>-22027</v>
      </c>
      <c r="AC28" s="299"/>
      <c r="AD28" s="92"/>
      <c r="AE28" s="253"/>
      <c r="AF28" s="253"/>
      <c r="AG28" s="253"/>
      <c r="AH28" s="298" t="s">
        <v>419</v>
      </c>
      <c r="AI28" s="298"/>
      <c r="AJ28" s="92"/>
    </row>
    <row r="29" spans="1:36" x14ac:dyDescent="0.45">
      <c r="A29" s="295" t="s">
        <v>415</v>
      </c>
      <c r="B29" s="295"/>
      <c r="C29" s="295"/>
      <c r="D29" s="293">
        <v>-3778</v>
      </c>
      <c r="E29" s="293"/>
      <c r="F29" s="92"/>
      <c r="G29" s="253"/>
      <c r="H29" s="253"/>
      <c r="I29" s="253"/>
      <c r="J29" s="293">
        <v>-5497</v>
      </c>
      <c r="K29" s="293"/>
      <c r="L29" s="92"/>
      <c r="M29" s="253"/>
      <c r="N29" s="253"/>
      <c r="O29" s="253"/>
      <c r="P29" s="293">
        <v>-8169</v>
      </c>
      <c r="Q29" s="293"/>
      <c r="R29" s="92"/>
      <c r="S29" s="300" t="s">
        <v>421</v>
      </c>
      <c r="T29" s="300"/>
      <c r="U29" s="300"/>
      <c r="V29" s="301" t="s">
        <v>497</v>
      </c>
      <c r="W29" s="301"/>
      <c r="X29" s="98"/>
      <c r="Y29" s="256"/>
      <c r="Z29" s="256"/>
      <c r="AA29" s="256"/>
      <c r="AB29" s="301" t="s">
        <v>498</v>
      </c>
      <c r="AC29" s="301"/>
      <c r="AD29" s="98"/>
      <c r="AE29" s="256"/>
      <c r="AF29" s="256"/>
      <c r="AG29" s="256"/>
      <c r="AH29" s="301" t="s">
        <v>422</v>
      </c>
      <c r="AI29" s="301"/>
      <c r="AJ29" s="98"/>
    </row>
    <row r="30" spans="1:36" x14ac:dyDescent="0.45">
      <c r="A30" s="296" t="s">
        <v>265</v>
      </c>
      <c r="B30" s="296"/>
      <c r="C30" s="296"/>
      <c r="D30" s="292" t="s">
        <v>416</v>
      </c>
      <c r="E30" s="292"/>
      <c r="F30" s="94"/>
      <c r="G30" s="256"/>
      <c r="H30" s="256"/>
      <c r="I30" s="256"/>
      <c r="J30" s="297">
        <v>-40981</v>
      </c>
      <c r="K30" s="297"/>
      <c r="L30" s="94"/>
      <c r="M30" s="256"/>
      <c r="N30" s="256"/>
      <c r="O30" s="256"/>
      <c r="P30" s="292" t="s">
        <v>417</v>
      </c>
      <c r="Q30" s="292"/>
      <c r="R30" s="94"/>
      <c r="S30" s="253"/>
      <c r="T30" s="253"/>
      <c r="U30" s="253"/>
      <c r="V30" s="253"/>
      <c r="W30" s="253"/>
      <c r="X30" s="253"/>
      <c r="Y30" s="253"/>
      <c r="Z30" s="253"/>
      <c r="AA30" s="253"/>
      <c r="AB30" s="253"/>
      <c r="AC30" s="253"/>
      <c r="AD30" s="253"/>
      <c r="AE30" s="253"/>
      <c r="AF30" s="253"/>
      <c r="AG30" s="253"/>
      <c r="AH30" s="253"/>
      <c r="AI30" s="253"/>
      <c r="AJ30" s="253"/>
    </row>
    <row r="31" spans="1:36" ht="14.65" thickBot="1" x14ac:dyDescent="0.5">
      <c r="A31" s="295" t="s">
        <v>418</v>
      </c>
      <c r="B31" s="295"/>
      <c r="C31" s="295"/>
      <c r="D31" s="298" t="s">
        <v>419</v>
      </c>
      <c r="E31" s="298"/>
      <c r="F31" s="92"/>
      <c r="G31" s="253"/>
      <c r="H31" s="253"/>
      <c r="I31" s="253"/>
      <c r="J31" s="299">
        <v>-4890</v>
      </c>
      <c r="K31" s="299"/>
      <c r="L31" s="92"/>
      <c r="M31" s="253"/>
      <c r="N31" s="253"/>
      <c r="O31" s="253"/>
      <c r="P31" s="298" t="s">
        <v>420</v>
      </c>
      <c r="Q31" s="298"/>
      <c r="R31" s="92"/>
      <c r="S31" s="302" t="s">
        <v>425</v>
      </c>
      <c r="T31" s="302"/>
      <c r="U31" s="302"/>
      <c r="V31" s="256"/>
      <c r="W31" s="256"/>
      <c r="X31" s="256"/>
      <c r="Y31" s="256"/>
      <c r="Z31" s="256"/>
      <c r="AA31" s="256"/>
      <c r="AB31" s="256"/>
      <c r="AC31" s="256"/>
      <c r="AD31" s="256"/>
      <c r="AE31" s="256"/>
      <c r="AF31" s="256"/>
      <c r="AG31" s="256"/>
      <c r="AH31" s="256"/>
      <c r="AI31" s="256"/>
      <c r="AJ31" s="256"/>
    </row>
    <row r="32" spans="1:36" ht="20.25" customHeight="1" x14ac:dyDescent="0.45">
      <c r="A32" s="300" t="s">
        <v>421</v>
      </c>
      <c r="B32" s="300"/>
      <c r="C32" s="300"/>
      <c r="D32" s="301" t="s">
        <v>422</v>
      </c>
      <c r="E32" s="301"/>
      <c r="F32" s="98"/>
      <c r="G32" s="256"/>
      <c r="H32" s="256"/>
      <c r="I32" s="256"/>
      <c r="J32" s="301" t="s">
        <v>423</v>
      </c>
      <c r="K32" s="301"/>
      <c r="L32" s="98"/>
      <c r="M32" s="256"/>
      <c r="N32" s="256"/>
      <c r="O32" s="256"/>
      <c r="P32" s="301" t="s">
        <v>424</v>
      </c>
      <c r="Q32" s="301"/>
      <c r="R32" s="98"/>
      <c r="S32" s="314" t="s">
        <v>499</v>
      </c>
      <c r="T32" s="314"/>
      <c r="U32" s="314"/>
      <c r="V32" s="288" t="s">
        <v>500</v>
      </c>
      <c r="W32" s="288"/>
      <c r="X32" s="92"/>
      <c r="Y32" s="253"/>
      <c r="Z32" s="253"/>
      <c r="AA32" s="253"/>
      <c r="AB32" s="288" t="s">
        <v>501</v>
      </c>
      <c r="AC32" s="288"/>
      <c r="AD32" s="92"/>
      <c r="AE32" s="253"/>
      <c r="AF32" s="253"/>
      <c r="AG32" s="253"/>
      <c r="AH32" s="288">
        <v>-772</v>
      </c>
      <c r="AI32" s="288"/>
      <c r="AJ32" s="92"/>
    </row>
    <row r="33" spans="1:36" x14ac:dyDescent="0.45">
      <c r="A33" s="253"/>
      <c r="B33" s="253"/>
      <c r="C33" s="253"/>
      <c r="D33" s="253"/>
      <c r="E33" s="253"/>
      <c r="F33" s="253"/>
      <c r="G33" s="253"/>
      <c r="H33" s="253"/>
      <c r="I33" s="253"/>
      <c r="J33" s="253"/>
      <c r="K33" s="253"/>
      <c r="L33" s="253"/>
      <c r="M33" s="253"/>
      <c r="N33" s="253"/>
      <c r="O33" s="253"/>
      <c r="P33" s="253"/>
      <c r="Q33" s="253"/>
      <c r="R33" s="253"/>
      <c r="S33" s="296" t="s">
        <v>429</v>
      </c>
      <c r="T33" s="296"/>
      <c r="U33" s="296"/>
      <c r="V33" s="297">
        <v>-22891</v>
      </c>
      <c r="W33" s="297"/>
      <c r="X33" s="94"/>
      <c r="Y33" s="256"/>
      <c r="Z33" s="256"/>
      <c r="AA33" s="256"/>
      <c r="AB33" s="297">
        <v>-30562</v>
      </c>
      <c r="AC33" s="297"/>
      <c r="AD33" s="94"/>
      <c r="AE33" s="256"/>
      <c r="AF33" s="256"/>
      <c r="AG33" s="256"/>
      <c r="AH33" s="297">
        <v>-26884</v>
      </c>
      <c r="AI33" s="297"/>
      <c r="AJ33" s="94"/>
    </row>
    <row r="34" spans="1:36" ht="20.25" customHeight="1" x14ac:dyDescent="0.45">
      <c r="A34" s="302" t="s">
        <v>425</v>
      </c>
      <c r="B34" s="302"/>
      <c r="C34" s="302"/>
      <c r="D34" s="256"/>
      <c r="E34" s="256"/>
      <c r="F34" s="256"/>
      <c r="G34" s="256"/>
      <c r="H34" s="256"/>
      <c r="I34" s="256"/>
      <c r="J34" s="256"/>
      <c r="K34" s="256"/>
      <c r="L34" s="256"/>
      <c r="M34" s="256"/>
      <c r="N34" s="256"/>
      <c r="O34" s="256"/>
      <c r="P34" s="256"/>
      <c r="Q34" s="256"/>
      <c r="R34" s="256"/>
      <c r="S34" s="295" t="s">
        <v>430</v>
      </c>
      <c r="T34" s="295"/>
      <c r="U34" s="295"/>
      <c r="V34" s="293">
        <v>-325044</v>
      </c>
      <c r="W34" s="293"/>
      <c r="X34" s="92"/>
      <c r="Y34" s="253"/>
      <c r="Z34" s="253"/>
      <c r="AA34" s="253"/>
      <c r="AB34" s="293">
        <v>-34105</v>
      </c>
      <c r="AC34" s="293"/>
      <c r="AD34" s="92"/>
      <c r="AE34" s="253"/>
      <c r="AF34" s="253"/>
      <c r="AG34" s="253"/>
      <c r="AH34" s="288" t="s">
        <v>68</v>
      </c>
      <c r="AI34" s="288"/>
      <c r="AJ34" s="92"/>
    </row>
    <row r="35" spans="1:36" ht="20.25" customHeight="1" thickBot="1" x14ac:dyDescent="0.5">
      <c r="A35" s="295" t="s">
        <v>426</v>
      </c>
      <c r="B35" s="295"/>
      <c r="C35" s="295"/>
      <c r="D35" s="288">
        <v>-772</v>
      </c>
      <c r="E35" s="288"/>
      <c r="F35" s="92"/>
      <c r="G35" s="253"/>
      <c r="H35" s="253"/>
      <c r="I35" s="253"/>
      <c r="J35" s="288" t="s">
        <v>427</v>
      </c>
      <c r="K35" s="288"/>
      <c r="L35" s="92"/>
      <c r="M35" s="253"/>
      <c r="N35" s="253"/>
      <c r="O35" s="253"/>
      <c r="P35" s="288" t="s">
        <v>428</v>
      </c>
      <c r="Q35" s="288"/>
      <c r="R35" s="92"/>
      <c r="S35" s="296" t="s">
        <v>432</v>
      </c>
      <c r="T35" s="296"/>
      <c r="U35" s="296"/>
      <c r="V35" s="307">
        <v>-1995</v>
      </c>
      <c r="W35" s="307"/>
      <c r="X35" s="94"/>
      <c r="Y35" s="256"/>
      <c r="Z35" s="256"/>
      <c r="AA35" s="256"/>
      <c r="AB35" s="306" t="s">
        <v>502</v>
      </c>
      <c r="AC35" s="306"/>
      <c r="AD35" s="94"/>
      <c r="AE35" s="256"/>
      <c r="AF35" s="256"/>
      <c r="AG35" s="256"/>
      <c r="AH35" s="306" t="s">
        <v>433</v>
      </c>
      <c r="AI35" s="306"/>
      <c r="AJ35" s="94"/>
    </row>
    <row r="36" spans="1:36" x14ac:dyDescent="0.45">
      <c r="A36" s="296" t="s">
        <v>429</v>
      </c>
      <c r="B36" s="296"/>
      <c r="C36" s="296"/>
      <c r="D36" s="297">
        <v>-26884</v>
      </c>
      <c r="E36" s="297"/>
      <c r="F36" s="94"/>
      <c r="G36" s="256"/>
      <c r="H36" s="256"/>
      <c r="I36" s="256"/>
      <c r="J36" s="297">
        <v>-19747</v>
      </c>
      <c r="K36" s="297"/>
      <c r="L36" s="94"/>
      <c r="M36" s="256"/>
      <c r="N36" s="256"/>
      <c r="O36" s="256"/>
      <c r="P36" s="297">
        <v>-34682</v>
      </c>
      <c r="Q36" s="297"/>
      <c r="R36" s="94"/>
      <c r="S36" s="315" t="s">
        <v>503</v>
      </c>
      <c r="T36" s="315"/>
      <c r="U36" s="315"/>
      <c r="V36" s="304">
        <v>-349652</v>
      </c>
      <c r="W36" s="304"/>
      <c r="X36" s="96"/>
      <c r="Y36" s="253"/>
      <c r="Z36" s="253"/>
      <c r="AA36" s="253"/>
      <c r="AB36" s="304">
        <v>-63412</v>
      </c>
      <c r="AC36" s="304"/>
      <c r="AD36" s="96"/>
      <c r="AE36" s="253"/>
      <c r="AF36" s="253"/>
      <c r="AG36" s="253"/>
      <c r="AH36" s="304">
        <v>-23308</v>
      </c>
      <c r="AI36" s="304"/>
      <c r="AJ36" s="96"/>
    </row>
    <row r="37" spans="1:36" ht="20.25" customHeight="1" x14ac:dyDescent="0.45">
      <c r="A37" s="295" t="s">
        <v>430</v>
      </c>
      <c r="B37" s="295"/>
      <c r="C37" s="295"/>
      <c r="D37" s="288" t="s">
        <v>68</v>
      </c>
      <c r="E37" s="288"/>
      <c r="F37" s="92"/>
      <c r="G37" s="253"/>
      <c r="H37" s="253"/>
      <c r="I37" s="253"/>
      <c r="J37" s="288" t="s">
        <v>431</v>
      </c>
      <c r="K37" s="288"/>
      <c r="L37" s="92"/>
      <c r="M37" s="253"/>
      <c r="N37" s="253"/>
      <c r="O37" s="253"/>
      <c r="P37" s="293">
        <v>-8670</v>
      </c>
      <c r="Q37" s="293"/>
      <c r="R37" s="92"/>
      <c r="S37" s="256"/>
      <c r="T37" s="256"/>
      <c r="U37" s="256"/>
      <c r="V37" s="256"/>
      <c r="W37" s="256"/>
      <c r="X37" s="256"/>
      <c r="Y37" s="256"/>
      <c r="Z37" s="256"/>
      <c r="AA37" s="256"/>
      <c r="AB37" s="256"/>
      <c r="AC37" s="256"/>
      <c r="AD37" s="256"/>
      <c r="AE37" s="256"/>
      <c r="AF37" s="256"/>
      <c r="AG37" s="256"/>
      <c r="AH37" s="256"/>
      <c r="AI37" s="256"/>
      <c r="AJ37" s="256"/>
    </row>
    <row r="38" spans="1:36" ht="14.65" thickBot="1" x14ac:dyDescent="0.5">
      <c r="A38" s="296" t="s">
        <v>432</v>
      </c>
      <c r="B38" s="296"/>
      <c r="C38" s="296"/>
      <c r="D38" s="306" t="s">
        <v>433</v>
      </c>
      <c r="E38" s="306"/>
      <c r="F38" s="94"/>
      <c r="G38" s="256"/>
      <c r="H38" s="256"/>
      <c r="I38" s="256"/>
      <c r="J38" s="306" t="s">
        <v>434</v>
      </c>
      <c r="K38" s="306"/>
      <c r="L38" s="94"/>
      <c r="M38" s="256"/>
      <c r="N38" s="256"/>
      <c r="O38" s="256"/>
      <c r="P38" s="306" t="s">
        <v>435</v>
      </c>
      <c r="Q38" s="306"/>
      <c r="R38" s="94"/>
      <c r="S38" s="294" t="s">
        <v>438</v>
      </c>
      <c r="T38" s="294"/>
      <c r="U38" s="294"/>
      <c r="V38" s="253"/>
      <c r="W38" s="253"/>
      <c r="X38" s="253"/>
      <c r="Y38" s="253"/>
      <c r="Z38" s="253"/>
      <c r="AA38" s="253"/>
      <c r="AB38" s="253"/>
      <c r="AC38" s="253"/>
      <c r="AD38" s="253"/>
      <c r="AE38" s="253"/>
      <c r="AF38" s="253"/>
      <c r="AG38" s="253"/>
      <c r="AH38" s="253"/>
      <c r="AI38" s="253"/>
      <c r="AJ38" s="253"/>
    </row>
    <row r="39" spans="1:36" ht="20.25" customHeight="1" x14ac:dyDescent="0.45">
      <c r="A39" s="303" t="s">
        <v>436</v>
      </c>
      <c r="B39" s="303"/>
      <c r="C39" s="303"/>
      <c r="D39" s="304">
        <v>-23308</v>
      </c>
      <c r="E39" s="304"/>
      <c r="F39" s="96"/>
      <c r="G39" s="253"/>
      <c r="H39" s="253"/>
      <c r="I39" s="253"/>
      <c r="J39" s="305" t="s">
        <v>437</v>
      </c>
      <c r="K39" s="305"/>
      <c r="L39" s="96"/>
      <c r="M39" s="253"/>
      <c r="N39" s="253"/>
      <c r="O39" s="253"/>
      <c r="P39" s="304">
        <v>-34884</v>
      </c>
      <c r="Q39" s="304"/>
      <c r="R39" s="96"/>
      <c r="S39" s="296" t="s">
        <v>439</v>
      </c>
      <c r="T39" s="296"/>
      <c r="U39" s="296"/>
      <c r="V39" s="292" t="s">
        <v>68</v>
      </c>
      <c r="W39" s="292"/>
      <c r="X39" s="94"/>
      <c r="Y39" s="256"/>
      <c r="Z39" s="256"/>
      <c r="AA39" s="256"/>
      <c r="AB39" s="292" t="s">
        <v>504</v>
      </c>
      <c r="AC39" s="292"/>
      <c r="AD39" s="94"/>
      <c r="AE39" s="256"/>
      <c r="AF39" s="256"/>
      <c r="AG39" s="256"/>
      <c r="AH39" s="292" t="s">
        <v>68</v>
      </c>
      <c r="AI39" s="292"/>
      <c r="AJ39" s="94"/>
    </row>
    <row r="40" spans="1:36" x14ac:dyDescent="0.45">
      <c r="A40" s="256"/>
      <c r="B40" s="256"/>
      <c r="C40" s="256"/>
      <c r="D40" s="256"/>
      <c r="E40" s="256"/>
      <c r="F40" s="256"/>
      <c r="G40" s="256"/>
      <c r="H40" s="256"/>
      <c r="I40" s="256"/>
      <c r="J40" s="256"/>
      <c r="K40" s="256"/>
      <c r="L40" s="256"/>
      <c r="M40" s="256"/>
      <c r="N40" s="256"/>
      <c r="O40" s="256"/>
      <c r="P40" s="256"/>
      <c r="Q40" s="256"/>
      <c r="R40" s="256"/>
      <c r="S40" s="295" t="s">
        <v>442</v>
      </c>
      <c r="T40" s="295"/>
      <c r="U40" s="295"/>
      <c r="V40" s="288" t="s">
        <v>505</v>
      </c>
      <c r="W40" s="288"/>
      <c r="X40" s="92"/>
      <c r="Y40" s="253"/>
      <c r="Z40" s="253"/>
      <c r="AA40" s="253"/>
      <c r="AB40" s="288" t="s">
        <v>506</v>
      </c>
      <c r="AC40" s="288"/>
      <c r="AD40" s="92"/>
      <c r="AE40" s="253"/>
      <c r="AF40" s="253"/>
      <c r="AG40" s="253"/>
      <c r="AH40" s="288" t="s">
        <v>443</v>
      </c>
      <c r="AI40" s="288"/>
      <c r="AJ40" s="92"/>
    </row>
    <row r="41" spans="1:36" x14ac:dyDescent="0.45">
      <c r="A41" s="294" t="s">
        <v>438</v>
      </c>
      <c r="B41" s="294"/>
      <c r="C41" s="294"/>
      <c r="D41" s="253"/>
      <c r="E41" s="253"/>
      <c r="F41" s="253"/>
      <c r="G41" s="253"/>
      <c r="H41" s="253"/>
      <c r="I41" s="253"/>
      <c r="J41" s="253"/>
      <c r="K41" s="253"/>
      <c r="L41" s="253"/>
      <c r="M41" s="253"/>
      <c r="N41" s="253"/>
      <c r="O41" s="253"/>
      <c r="P41" s="253"/>
      <c r="Q41" s="253"/>
      <c r="R41" s="253"/>
      <c r="S41" s="316" t="s">
        <v>507</v>
      </c>
      <c r="T41" s="316"/>
      <c r="U41" s="316"/>
      <c r="V41" s="292" t="s">
        <v>68</v>
      </c>
      <c r="W41" s="292"/>
      <c r="X41" s="94"/>
      <c r="Y41" s="256"/>
      <c r="Z41" s="256"/>
      <c r="AA41" s="256"/>
      <c r="AB41" s="297">
        <v>-108997</v>
      </c>
      <c r="AC41" s="297"/>
      <c r="AD41" s="94"/>
      <c r="AE41" s="256"/>
      <c r="AF41" s="256"/>
      <c r="AG41" s="256"/>
      <c r="AH41" s="292" t="s">
        <v>68</v>
      </c>
      <c r="AI41" s="292"/>
      <c r="AJ41" s="94"/>
    </row>
    <row r="42" spans="1:36" x14ac:dyDescent="0.45">
      <c r="A42" s="296" t="s">
        <v>439</v>
      </c>
      <c r="B42" s="296"/>
      <c r="C42" s="296"/>
      <c r="D42" s="292" t="s">
        <v>68</v>
      </c>
      <c r="E42" s="292"/>
      <c r="F42" s="94"/>
      <c r="G42" s="256"/>
      <c r="H42" s="256"/>
      <c r="I42" s="256"/>
      <c r="J42" s="292" t="s">
        <v>68</v>
      </c>
      <c r="K42" s="292"/>
      <c r="L42" s="94"/>
      <c r="M42" s="256"/>
      <c r="N42" s="256"/>
      <c r="O42" s="256"/>
      <c r="P42" s="292" t="s">
        <v>440</v>
      </c>
      <c r="Q42" s="292"/>
      <c r="R42" s="94"/>
      <c r="S42" s="295" t="s">
        <v>451</v>
      </c>
      <c r="T42" s="295"/>
      <c r="U42" s="295"/>
      <c r="V42" s="293">
        <v>-100000</v>
      </c>
      <c r="W42" s="293"/>
      <c r="X42" s="92"/>
      <c r="Y42" s="253"/>
      <c r="Z42" s="253"/>
      <c r="AA42" s="253"/>
      <c r="AB42" s="293">
        <v>-100000</v>
      </c>
      <c r="AC42" s="293"/>
      <c r="AD42" s="92"/>
      <c r="AE42" s="253"/>
      <c r="AF42" s="253"/>
      <c r="AG42" s="253"/>
      <c r="AH42" s="288" t="s">
        <v>68</v>
      </c>
      <c r="AI42" s="288"/>
      <c r="AJ42" s="92"/>
    </row>
    <row r="43" spans="1:36" x14ac:dyDescent="0.45">
      <c r="A43" s="295" t="s">
        <v>441</v>
      </c>
      <c r="B43" s="295"/>
      <c r="C43" s="295"/>
      <c r="D43" s="288" t="s">
        <v>68</v>
      </c>
      <c r="E43" s="288"/>
      <c r="F43" s="92"/>
      <c r="G43" s="253"/>
      <c r="H43" s="253"/>
      <c r="I43" s="253"/>
      <c r="J43" s="288" t="s">
        <v>68</v>
      </c>
      <c r="K43" s="288"/>
      <c r="L43" s="92"/>
      <c r="M43" s="253"/>
      <c r="N43" s="253"/>
      <c r="O43" s="253"/>
      <c r="P43" s="293">
        <v>-946094</v>
      </c>
      <c r="Q43" s="293"/>
      <c r="R43" s="92"/>
      <c r="S43" s="296" t="s">
        <v>452</v>
      </c>
      <c r="T43" s="296"/>
      <c r="U43" s="296"/>
      <c r="V43" s="297">
        <v>-2213</v>
      </c>
      <c r="W43" s="297"/>
      <c r="X43" s="94"/>
      <c r="Y43" s="256"/>
      <c r="Z43" s="256"/>
      <c r="AA43" s="256"/>
      <c r="AB43" s="297">
        <v>-21872</v>
      </c>
      <c r="AC43" s="297"/>
      <c r="AD43" s="94"/>
      <c r="AE43" s="256"/>
      <c r="AF43" s="256"/>
      <c r="AG43" s="256"/>
      <c r="AH43" s="297">
        <v>-2471</v>
      </c>
      <c r="AI43" s="297"/>
      <c r="AJ43" s="94"/>
    </row>
    <row r="44" spans="1:36" ht="14.65" thickBot="1" x14ac:dyDescent="0.5">
      <c r="A44" s="296" t="s">
        <v>442</v>
      </c>
      <c r="B44" s="296"/>
      <c r="C44" s="296"/>
      <c r="D44" s="292" t="s">
        <v>443</v>
      </c>
      <c r="E44" s="292"/>
      <c r="F44" s="94"/>
      <c r="G44" s="256"/>
      <c r="H44" s="256"/>
      <c r="I44" s="256"/>
      <c r="J44" s="292" t="s">
        <v>444</v>
      </c>
      <c r="K44" s="292"/>
      <c r="L44" s="94"/>
      <c r="M44" s="256"/>
      <c r="N44" s="256"/>
      <c r="O44" s="256"/>
      <c r="P44" s="292" t="s">
        <v>445</v>
      </c>
      <c r="Q44" s="292"/>
      <c r="R44" s="94"/>
      <c r="S44" s="295" t="s">
        <v>453</v>
      </c>
      <c r="T44" s="295"/>
      <c r="U44" s="295"/>
      <c r="V44" s="299">
        <v>-2569</v>
      </c>
      <c r="W44" s="299"/>
      <c r="X44" s="92"/>
      <c r="Y44" s="253"/>
      <c r="Z44" s="253"/>
      <c r="AA44" s="253"/>
      <c r="AB44" s="299">
        <v>-2879</v>
      </c>
      <c r="AC44" s="299"/>
      <c r="AD44" s="92"/>
      <c r="AE44" s="253"/>
      <c r="AF44" s="253"/>
      <c r="AG44" s="253"/>
      <c r="AH44" s="299">
        <v>-4711</v>
      </c>
      <c r="AI44" s="299"/>
      <c r="AJ44" s="92"/>
    </row>
    <row r="45" spans="1:36" ht="20.25" customHeight="1" x14ac:dyDescent="0.45">
      <c r="A45" s="295" t="s">
        <v>446</v>
      </c>
      <c r="B45" s="295"/>
      <c r="C45" s="295"/>
      <c r="D45" s="288" t="s">
        <v>68</v>
      </c>
      <c r="E45" s="288"/>
      <c r="F45" s="92"/>
      <c r="G45" s="253"/>
      <c r="H45" s="253"/>
      <c r="I45" s="253"/>
      <c r="J45" s="288" t="s">
        <v>68</v>
      </c>
      <c r="K45" s="288"/>
      <c r="L45" s="92"/>
      <c r="M45" s="253"/>
      <c r="N45" s="253"/>
      <c r="O45" s="253"/>
      <c r="P45" s="288" t="s">
        <v>447</v>
      </c>
      <c r="Q45" s="288"/>
      <c r="R45" s="92"/>
      <c r="S45" s="317" t="s">
        <v>508</v>
      </c>
      <c r="T45" s="317"/>
      <c r="U45" s="317"/>
      <c r="V45" s="308">
        <v>-97462</v>
      </c>
      <c r="W45" s="308"/>
      <c r="X45" s="98"/>
      <c r="Y45" s="256"/>
      <c r="Z45" s="256"/>
      <c r="AA45" s="256"/>
      <c r="AB45" s="301" t="s">
        <v>509</v>
      </c>
      <c r="AC45" s="301"/>
      <c r="AD45" s="98"/>
      <c r="AE45" s="256"/>
      <c r="AF45" s="256"/>
      <c r="AG45" s="256"/>
      <c r="AH45" s="308">
        <v>-3508</v>
      </c>
      <c r="AI45" s="308"/>
      <c r="AJ45" s="98"/>
    </row>
    <row r="46" spans="1:36" x14ac:dyDescent="0.45">
      <c r="A46" s="296" t="s">
        <v>448</v>
      </c>
      <c r="B46" s="296"/>
      <c r="C46" s="296"/>
      <c r="D46" s="292" t="s">
        <v>68</v>
      </c>
      <c r="E46" s="292"/>
      <c r="F46" s="94"/>
      <c r="G46" s="256"/>
      <c r="H46" s="256"/>
      <c r="I46" s="256"/>
      <c r="J46" s="292" t="s">
        <v>68</v>
      </c>
      <c r="K46" s="292"/>
      <c r="L46" s="94"/>
      <c r="M46" s="256"/>
      <c r="N46" s="256"/>
      <c r="O46" s="256"/>
      <c r="P46" s="292" t="s">
        <v>449</v>
      </c>
      <c r="Q46" s="292"/>
      <c r="R46" s="94"/>
      <c r="S46" s="253"/>
      <c r="T46" s="253"/>
      <c r="U46" s="253"/>
      <c r="V46" s="253"/>
      <c r="W46" s="253"/>
      <c r="X46" s="253"/>
      <c r="Y46" s="253"/>
      <c r="Z46" s="253"/>
      <c r="AA46" s="253"/>
      <c r="AB46" s="253"/>
      <c r="AC46" s="253"/>
      <c r="AD46" s="253"/>
      <c r="AE46" s="253"/>
      <c r="AF46" s="253"/>
      <c r="AG46" s="253"/>
      <c r="AH46" s="253"/>
      <c r="AI46" s="253"/>
      <c r="AJ46" s="253"/>
    </row>
    <row r="47" spans="1:36" ht="20.25" customHeight="1" thickBot="1" x14ac:dyDescent="0.5">
      <c r="A47" s="295" t="s">
        <v>450</v>
      </c>
      <c r="B47" s="295"/>
      <c r="C47" s="295"/>
      <c r="D47" s="288" t="s">
        <v>68</v>
      </c>
      <c r="E47" s="288"/>
      <c r="F47" s="92"/>
      <c r="G47" s="253"/>
      <c r="H47" s="253"/>
      <c r="I47" s="253"/>
      <c r="J47" s="288" t="s">
        <v>68</v>
      </c>
      <c r="K47" s="288"/>
      <c r="L47" s="92"/>
      <c r="M47" s="253"/>
      <c r="N47" s="253"/>
      <c r="O47" s="253"/>
      <c r="P47" s="293">
        <v>-84139</v>
      </c>
      <c r="Q47" s="293"/>
      <c r="R47" s="92"/>
      <c r="S47" s="302" t="s">
        <v>456</v>
      </c>
      <c r="T47" s="302"/>
      <c r="U47" s="302"/>
      <c r="V47" s="306" t="s">
        <v>510</v>
      </c>
      <c r="W47" s="306"/>
      <c r="X47" s="94"/>
      <c r="Y47" s="256"/>
      <c r="Z47" s="256"/>
      <c r="AA47" s="256"/>
      <c r="AB47" s="307">
        <v>-5148</v>
      </c>
      <c r="AC47" s="307"/>
      <c r="AD47" s="94"/>
      <c r="AE47" s="256"/>
      <c r="AF47" s="256"/>
      <c r="AG47" s="256"/>
      <c r="AH47" s="306" t="s">
        <v>457</v>
      </c>
      <c r="AI47" s="306"/>
      <c r="AJ47" s="94"/>
    </row>
    <row r="48" spans="1:36" x14ac:dyDescent="0.45">
      <c r="A48" s="296" t="s">
        <v>451</v>
      </c>
      <c r="B48" s="296"/>
      <c r="C48" s="296"/>
      <c r="D48" s="292" t="s">
        <v>68</v>
      </c>
      <c r="E48" s="292"/>
      <c r="F48" s="94"/>
      <c r="G48" s="256"/>
      <c r="H48" s="256"/>
      <c r="I48" s="256"/>
      <c r="J48" s="297">
        <v>-16972</v>
      </c>
      <c r="K48" s="297"/>
      <c r="L48" s="94"/>
      <c r="M48" s="256"/>
      <c r="N48" s="256"/>
      <c r="O48" s="256"/>
      <c r="P48" s="297">
        <v>-8028</v>
      </c>
      <c r="Q48" s="297"/>
      <c r="R48" s="94"/>
      <c r="S48" s="313" t="s">
        <v>511</v>
      </c>
      <c r="T48" s="313"/>
      <c r="U48" s="313"/>
      <c r="V48" s="304">
        <v>-30840</v>
      </c>
      <c r="W48" s="304"/>
      <c r="X48" s="96"/>
      <c r="Y48" s="253"/>
      <c r="Z48" s="253"/>
      <c r="AA48" s="253"/>
      <c r="AB48" s="305" t="s">
        <v>512</v>
      </c>
      <c r="AC48" s="305"/>
      <c r="AD48" s="96"/>
      <c r="AE48" s="253"/>
      <c r="AF48" s="253"/>
      <c r="AG48" s="253"/>
      <c r="AH48" s="305" t="s">
        <v>459</v>
      </c>
      <c r="AI48" s="305"/>
      <c r="AJ48" s="96"/>
    </row>
    <row r="49" spans="1:36" ht="20.25" customHeight="1" thickBot="1" x14ac:dyDescent="0.5">
      <c r="A49" s="295" t="s">
        <v>452</v>
      </c>
      <c r="B49" s="295"/>
      <c r="C49" s="295"/>
      <c r="D49" s="293">
        <v>-2471</v>
      </c>
      <c r="E49" s="293"/>
      <c r="F49" s="92"/>
      <c r="G49" s="253"/>
      <c r="H49" s="253"/>
      <c r="I49" s="253"/>
      <c r="J49" s="288">
        <v>-697</v>
      </c>
      <c r="K49" s="288"/>
      <c r="L49" s="92"/>
      <c r="M49" s="253"/>
      <c r="N49" s="253"/>
      <c r="O49" s="253"/>
      <c r="P49" s="293">
        <v>-12031</v>
      </c>
      <c r="Q49" s="293"/>
      <c r="R49" s="92"/>
      <c r="S49" s="302" t="s">
        <v>461</v>
      </c>
      <c r="T49" s="302"/>
      <c r="U49" s="302"/>
      <c r="V49" s="306" t="s">
        <v>513</v>
      </c>
      <c r="W49" s="306"/>
      <c r="X49" s="94"/>
      <c r="Y49" s="256"/>
      <c r="Z49" s="256"/>
      <c r="AA49" s="256"/>
      <c r="AB49" s="306" t="s">
        <v>466</v>
      </c>
      <c r="AC49" s="306"/>
      <c r="AD49" s="94"/>
      <c r="AE49" s="256"/>
      <c r="AF49" s="256"/>
      <c r="AG49" s="256"/>
      <c r="AH49" s="306" t="s">
        <v>462</v>
      </c>
      <c r="AI49" s="306"/>
      <c r="AJ49" s="94"/>
    </row>
    <row r="50" spans="1:36" ht="15.4" thickBot="1" x14ac:dyDescent="0.5">
      <c r="A50" s="296" t="s">
        <v>453</v>
      </c>
      <c r="B50" s="296"/>
      <c r="C50" s="296"/>
      <c r="D50" s="307">
        <v>-4711</v>
      </c>
      <c r="E50" s="307"/>
      <c r="F50" s="94"/>
      <c r="G50" s="256"/>
      <c r="H50" s="256"/>
      <c r="I50" s="256"/>
      <c r="J50" s="307">
        <v>-4520</v>
      </c>
      <c r="K50" s="307"/>
      <c r="L50" s="94"/>
      <c r="M50" s="256"/>
      <c r="N50" s="256"/>
      <c r="O50" s="256"/>
      <c r="P50" s="307">
        <v>-2443</v>
      </c>
      <c r="Q50" s="307"/>
      <c r="R50" s="94"/>
      <c r="S50" s="318" t="s">
        <v>465</v>
      </c>
      <c r="T50" s="318"/>
      <c r="U50" s="318"/>
      <c r="V50" s="143" t="s">
        <v>64</v>
      </c>
      <c r="W50" s="140" t="s">
        <v>514</v>
      </c>
      <c r="X50" s="96"/>
      <c r="Y50" s="253"/>
      <c r="Z50" s="253"/>
      <c r="AA50" s="253"/>
      <c r="AB50" s="143" t="s">
        <v>64</v>
      </c>
      <c r="AC50" s="140" t="s">
        <v>513</v>
      </c>
      <c r="AD50" s="96"/>
      <c r="AE50" s="253"/>
      <c r="AF50" s="253"/>
      <c r="AG50" s="253"/>
      <c r="AH50" s="143" t="s">
        <v>64</v>
      </c>
      <c r="AI50" s="140" t="s">
        <v>466</v>
      </c>
      <c r="AJ50" s="96"/>
    </row>
    <row r="51" spans="1:36" ht="14.65" thickTop="1" x14ac:dyDescent="0.45">
      <c r="A51" s="303" t="s">
        <v>454</v>
      </c>
      <c r="B51" s="303"/>
      <c r="C51" s="303"/>
      <c r="D51" s="304">
        <v>-3508</v>
      </c>
      <c r="E51" s="304"/>
      <c r="F51" s="96"/>
      <c r="G51" s="253"/>
      <c r="H51" s="253"/>
      <c r="I51" s="253"/>
      <c r="J51" s="304">
        <v>-18737</v>
      </c>
      <c r="K51" s="304"/>
      <c r="L51" s="96"/>
      <c r="M51" s="253"/>
      <c r="N51" s="253"/>
      <c r="O51" s="253"/>
      <c r="P51" s="304">
        <v>-152887</v>
      </c>
      <c r="Q51" s="304"/>
      <c r="R51" s="96"/>
      <c r="S51" s="256"/>
      <c r="T51" s="256"/>
      <c r="U51" s="256"/>
      <c r="V51" s="276"/>
      <c r="W51" s="276"/>
      <c r="X51" s="276"/>
      <c r="Y51" s="256"/>
      <c r="Z51" s="256"/>
      <c r="AA51" s="256"/>
      <c r="AB51" s="276"/>
      <c r="AC51" s="276"/>
      <c r="AD51" s="276"/>
      <c r="AE51" s="256"/>
      <c r="AF51" s="256"/>
      <c r="AG51" s="256"/>
      <c r="AH51" s="276"/>
      <c r="AI51" s="276"/>
      <c r="AJ51" s="276"/>
    </row>
    <row r="52" spans="1:36" ht="20.25" customHeight="1" x14ac:dyDescent="0.45">
      <c r="A52" s="256"/>
      <c r="B52" s="256"/>
      <c r="C52" s="256"/>
      <c r="D52" s="256"/>
      <c r="E52" s="256"/>
      <c r="F52" s="256"/>
      <c r="G52" s="256"/>
      <c r="H52" s="256"/>
      <c r="I52" s="256"/>
      <c r="J52" s="256"/>
      <c r="K52" s="256"/>
      <c r="L52" s="256"/>
      <c r="M52" s="256"/>
      <c r="N52" s="256"/>
      <c r="O52" s="256"/>
      <c r="P52" s="256"/>
      <c r="Q52" s="256"/>
      <c r="R52" s="256"/>
      <c r="S52" s="319" t="s">
        <v>467</v>
      </c>
      <c r="T52" s="319"/>
      <c r="U52" s="319"/>
      <c r="V52" s="253"/>
      <c r="W52" s="253"/>
      <c r="X52" s="253"/>
      <c r="Y52" s="253"/>
      <c r="Z52" s="253"/>
      <c r="AA52" s="253"/>
      <c r="AB52" s="253"/>
      <c r="AC52" s="253"/>
      <c r="AD52" s="253"/>
      <c r="AE52" s="253"/>
      <c r="AF52" s="253"/>
      <c r="AG52" s="253"/>
      <c r="AH52" s="253"/>
      <c r="AI52" s="253"/>
      <c r="AJ52" s="253"/>
    </row>
    <row r="53" spans="1:36" x14ac:dyDescent="0.45">
      <c r="A53" s="295" t="s">
        <v>455</v>
      </c>
      <c r="B53" s="295"/>
      <c r="C53" s="295"/>
      <c r="D53" s="288" t="s">
        <v>68</v>
      </c>
      <c r="E53" s="288"/>
      <c r="F53" s="92"/>
      <c r="G53" s="253"/>
      <c r="H53" s="253"/>
      <c r="I53" s="253"/>
      <c r="J53" s="288" t="s">
        <v>68</v>
      </c>
      <c r="K53" s="288"/>
      <c r="L53" s="92"/>
      <c r="M53" s="253"/>
      <c r="N53" s="253"/>
      <c r="O53" s="253"/>
      <c r="P53" s="293">
        <v>-9750</v>
      </c>
      <c r="Q53" s="293"/>
      <c r="R53" s="92"/>
      <c r="S53" s="296" t="s">
        <v>468</v>
      </c>
      <c r="T53" s="296"/>
      <c r="U53" s="296"/>
      <c r="V53" s="256"/>
      <c r="W53" s="256"/>
      <c r="X53" s="256"/>
      <c r="Y53" s="256"/>
      <c r="Z53" s="256"/>
      <c r="AA53" s="256"/>
      <c r="AB53" s="256"/>
      <c r="AC53" s="256"/>
      <c r="AD53" s="256"/>
      <c r="AE53" s="256"/>
      <c r="AF53" s="256"/>
      <c r="AG53" s="256"/>
      <c r="AH53" s="256"/>
      <c r="AI53" s="256"/>
      <c r="AJ53" s="256"/>
    </row>
    <row r="54" spans="1:36" x14ac:dyDescent="0.45">
      <c r="A54" s="256"/>
      <c r="B54" s="256"/>
      <c r="C54" s="256"/>
      <c r="D54" s="256"/>
      <c r="E54" s="256"/>
      <c r="F54" s="256"/>
      <c r="G54" s="256"/>
      <c r="H54" s="256"/>
      <c r="I54" s="256"/>
      <c r="J54" s="256"/>
      <c r="K54" s="256"/>
      <c r="L54" s="256"/>
      <c r="M54" s="256"/>
      <c r="N54" s="256"/>
      <c r="O54" s="256"/>
      <c r="P54" s="256"/>
      <c r="Q54" s="256"/>
      <c r="R54" s="256"/>
      <c r="S54" s="303" t="s">
        <v>469</v>
      </c>
      <c r="T54" s="303"/>
      <c r="U54" s="303"/>
      <c r="V54" s="135" t="s">
        <v>64</v>
      </c>
      <c r="W54" s="136" t="s">
        <v>515</v>
      </c>
      <c r="X54" s="92"/>
      <c r="Y54" s="253"/>
      <c r="Z54" s="253"/>
      <c r="AA54" s="253"/>
      <c r="AB54" s="135" t="s">
        <v>64</v>
      </c>
      <c r="AC54" s="136" t="s">
        <v>516</v>
      </c>
      <c r="AD54" s="92"/>
      <c r="AE54" s="253"/>
      <c r="AF54" s="253"/>
      <c r="AG54" s="253"/>
      <c r="AH54" s="135" t="s">
        <v>64</v>
      </c>
      <c r="AI54" s="136" t="s">
        <v>470</v>
      </c>
      <c r="AJ54" s="92"/>
    </row>
    <row r="55" spans="1:36" ht="20.25" customHeight="1" thickBot="1" x14ac:dyDescent="0.5">
      <c r="A55" s="294" t="s">
        <v>456</v>
      </c>
      <c r="B55" s="294"/>
      <c r="C55" s="294"/>
      <c r="D55" s="298" t="s">
        <v>457</v>
      </c>
      <c r="E55" s="298"/>
      <c r="F55" s="92"/>
      <c r="G55" s="253"/>
      <c r="H55" s="253"/>
      <c r="I55" s="253"/>
      <c r="J55" s="299">
        <v>-6851</v>
      </c>
      <c r="K55" s="299"/>
      <c r="L55" s="92"/>
      <c r="M55" s="253"/>
      <c r="N55" s="253"/>
      <c r="O55" s="253"/>
      <c r="P55" s="299">
        <v>-1627</v>
      </c>
      <c r="Q55" s="299"/>
      <c r="R55" s="92"/>
      <c r="S55" s="300" t="s">
        <v>473</v>
      </c>
      <c r="T55" s="300"/>
      <c r="U55" s="300"/>
      <c r="V55" s="292" t="s">
        <v>517</v>
      </c>
      <c r="W55" s="292"/>
      <c r="X55" s="94"/>
      <c r="Y55" s="256"/>
      <c r="Z55" s="256"/>
      <c r="AA55" s="256"/>
      <c r="AB55" s="292" t="s">
        <v>518</v>
      </c>
      <c r="AC55" s="292"/>
      <c r="AD55" s="94"/>
      <c r="AE55" s="256"/>
      <c r="AF55" s="256"/>
      <c r="AG55" s="256"/>
      <c r="AH55" s="292" t="s">
        <v>474</v>
      </c>
      <c r="AI55" s="292"/>
      <c r="AJ55" s="94"/>
    </row>
    <row r="56" spans="1:36" x14ac:dyDescent="0.45">
      <c r="A56" s="302" t="s">
        <v>458</v>
      </c>
      <c r="B56" s="302"/>
      <c r="C56" s="302"/>
      <c r="D56" s="301" t="s">
        <v>459</v>
      </c>
      <c r="E56" s="301"/>
      <c r="F56" s="98"/>
      <c r="G56" s="256"/>
      <c r="H56" s="256"/>
      <c r="I56" s="256"/>
      <c r="J56" s="301" t="s">
        <v>460</v>
      </c>
      <c r="K56" s="301"/>
      <c r="L56" s="98"/>
      <c r="M56" s="256"/>
      <c r="N56" s="256"/>
      <c r="O56" s="256"/>
      <c r="P56" s="308">
        <v>-44354</v>
      </c>
      <c r="Q56" s="308"/>
      <c r="R56" s="98"/>
      <c r="S56" s="253"/>
      <c r="T56" s="253"/>
      <c r="U56" s="253"/>
      <c r="V56" s="253"/>
      <c r="W56" s="253"/>
      <c r="X56" s="253"/>
      <c r="Y56" s="253"/>
      <c r="Z56" s="253"/>
      <c r="AA56" s="253"/>
      <c r="AB56" s="253"/>
      <c r="AC56" s="253"/>
      <c r="AD56" s="253"/>
      <c r="AE56" s="253"/>
      <c r="AF56" s="253"/>
      <c r="AG56" s="253"/>
      <c r="AH56" s="253"/>
      <c r="AI56" s="253"/>
      <c r="AJ56" s="253"/>
    </row>
    <row r="57" spans="1:36" ht="20.25" customHeight="1" thickBot="1" x14ac:dyDescent="0.5">
      <c r="A57" s="294" t="s">
        <v>461</v>
      </c>
      <c r="B57" s="294"/>
      <c r="C57" s="294"/>
      <c r="D57" s="298" t="s">
        <v>462</v>
      </c>
      <c r="E57" s="298"/>
      <c r="F57" s="92"/>
      <c r="G57" s="253"/>
      <c r="H57" s="253"/>
      <c r="I57" s="253"/>
      <c r="J57" s="298" t="s">
        <v>463</v>
      </c>
      <c r="K57" s="298"/>
      <c r="L57" s="92"/>
      <c r="M57" s="253"/>
      <c r="N57" s="253"/>
      <c r="O57" s="253"/>
      <c r="P57" s="298" t="s">
        <v>464</v>
      </c>
      <c r="Q57" s="298"/>
      <c r="R57" s="92"/>
      <c r="S57" s="320" t="s">
        <v>477</v>
      </c>
      <c r="T57" s="320"/>
      <c r="U57" s="320"/>
      <c r="V57" s="256"/>
      <c r="W57" s="256"/>
      <c r="X57" s="256"/>
      <c r="Y57" s="256"/>
      <c r="Z57" s="256"/>
      <c r="AA57" s="256"/>
      <c r="AB57" s="256"/>
      <c r="AC57" s="256"/>
      <c r="AD57" s="256"/>
      <c r="AE57" s="256"/>
      <c r="AF57" s="256"/>
      <c r="AG57" s="256"/>
      <c r="AH57" s="256"/>
      <c r="AI57" s="256"/>
      <c r="AJ57" s="256"/>
    </row>
    <row r="58" spans="1:36" ht="14.65" thickBot="1" x14ac:dyDescent="0.5">
      <c r="A58" s="310" t="s">
        <v>465</v>
      </c>
      <c r="B58" s="310"/>
      <c r="C58" s="310"/>
      <c r="D58" s="142" t="s">
        <v>64</v>
      </c>
      <c r="E58" s="139" t="s">
        <v>466</v>
      </c>
      <c r="F58" s="98"/>
      <c r="G58" s="256"/>
      <c r="H58" s="256"/>
      <c r="I58" s="256"/>
      <c r="J58" s="142" t="s">
        <v>64</v>
      </c>
      <c r="K58" s="139" t="s">
        <v>462</v>
      </c>
      <c r="L58" s="98"/>
      <c r="M58" s="256"/>
      <c r="N58" s="256"/>
      <c r="O58" s="256"/>
      <c r="P58" s="142" t="s">
        <v>64</v>
      </c>
      <c r="Q58" s="139" t="s">
        <v>463</v>
      </c>
      <c r="R58" s="98"/>
      <c r="S58" s="315" t="s">
        <v>519</v>
      </c>
      <c r="T58" s="315"/>
      <c r="U58" s="315"/>
      <c r="V58" s="135" t="s">
        <v>64</v>
      </c>
      <c r="W58" s="136" t="s">
        <v>68</v>
      </c>
      <c r="X58" s="92"/>
      <c r="Y58" s="253"/>
      <c r="Z58" s="253"/>
      <c r="AA58" s="253"/>
      <c r="AB58" s="135" t="s">
        <v>64</v>
      </c>
      <c r="AC58" s="136" t="s">
        <v>520</v>
      </c>
      <c r="AD58" s="92"/>
      <c r="AE58" s="253"/>
      <c r="AF58" s="253"/>
      <c r="AG58" s="253"/>
      <c r="AH58" s="135" t="s">
        <v>64</v>
      </c>
      <c r="AI58" s="136" t="s">
        <v>521</v>
      </c>
    </row>
    <row r="59" spans="1:36" ht="14.65" thickTop="1" x14ac:dyDescent="0.45">
      <c r="A59" s="253"/>
      <c r="B59" s="253"/>
      <c r="C59" s="253"/>
      <c r="D59" s="277"/>
      <c r="E59" s="277"/>
      <c r="F59" s="277"/>
      <c r="G59" s="253"/>
      <c r="H59" s="253"/>
      <c r="I59" s="253"/>
      <c r="J59" s="277"/>
      <c r="K59" s="277"/>
      <c r="L59" s="277"/>
      <c r="M59" s="253"/>
      <c r="N59" s="253"/>
      <c r="O59" s="253"/>
      <c r="P59" s="277"/>
      <c r="Q59" s="277"/>
      <c r="R59" s="277"/>
    </row>
    <row r="63" spans="1:36" ht="20.25" customHeight="1" x14ac:dyDescent="0.45">
      <c r="A63" s="309" t="s">
        <v>467</v>
      </c>
      <c r="B63" s="309"/>
      <c r="C63" s="309"/>
      <c r="D63" s="256"/>
      <c r="E63" s="256"/>
      <c r="F63" s="256"/>
      <c r="G63" s="256"/>
      <c r="H63" s="256"/>
      <c r="I63" s="256"/>
      <c r="J63" s="256"/>
      <c r="K63" s="256"/>
      <c r="L63" s="256"/>
      <c r="M63" s="256"/>
      <c r="N63" s="256"/>
      <c r="O63" s="256"/>
      <c r="P63" s="256"/>
      <c r="Q63" s="256"/>
      <c r="R63" s="256"/>
    </row>
    <row r="64" spans="1:36" x14ac:dyDescent="0.45">
      <c r="A64" s="295" t="s">
        <v>468</v>
      </c>
      <c r="B64" s="295"/>
      <c r="C64" s="295"/>
      <c r="D64" s="253"/>
      <c r="E64" s="253"/>
      <c r="F64" s="253"/>
      <c r="G64" s="253"/>
      <c r="H64" s="253"/>
      <c r="I64" s="253"/>
      <c r="J64" s="253"/>
      <c r="K64" s="253"/>
      <c r="L64" s="253"/>
      <c r="M64" s="253"/>
      <c r="N64" s="253"/>
      <c r="O64" s="253"/>
      <c r="P64" s="253"/>
      <c r="Q64" s="253"/>
      <c r="R64" s="253"/>
    </row>
    <row r="65" spans="1:18" x14ac:dyDescent="0.45">
      <c r="A65" s="300" t="s">
        <v>469</v>
      </c>
      <c r="B65" s="300"/>
      <c r="C65" s="300"/>
      <c r="D65" s="141" t="s">
        <v>64</v>
      </c>
      <c r="E65" s="138" t="s">
        <v>470</v>
      </c>
      <c r="F65" s="94"/>
      <c r="G65" s="256"/>
      <c r="H65" s="256"/>
      <c r="I65" s="256"/>
      <c r="J65" s="141" t="s">
        <v>64</v>
      </c>
      <c r="K65" s="138" t="s">
        <v>471</v>
      </c>
      <c r="L65" s="94"/>
      <c r="M65" s="256"/>
      <c r="N65" s="256"/>
      <c r="O65" s="256"/>
      <c r="P65" s="141" t="s">
        <v>64</v>
      </c>
      <c r="Q65" s="138" t="s">
        <v>472</v>
      </c>
      <c r="R65" s="94"/>
    </row>
    <row r="66" spans="1:18" x14ac:dyDescent="0.45">
      <c r="A66" s="303" t="s">
        <v>473</v>
      </c>
      <c r="B66" s="303"/>
      <c r="C66" s="303"/>
      <c r="D66" s="288" t="s">
        <v>474</v>
      </c>
      <c r="E66" s="288"/>
      <c r="F66" s="92"/>
      <c r="G66" s="253"/>
      <c r="H66" s="253"/>
      <c r="I66" s="253"/>
      <c r="J66" s="288" t="s">
        <v>475</v>
      </c>
      <c r="K66" s="288"/>
      <c r="L66" s="92"/>
      <c r="M66" s="253"/>
      <c r="N66" s="253"/>
      <c r="O66" s="253"/>
      <c r="P66" s="288" t="s">
        <v>476</v>
      </c>
      <c r="Q66" s="288"/>
      <c r="R66" s="92"/>
    </row>
    <row r="67" spans="1:18" ht="20.25" customHeight="1" x14ac:dyDescent="0.45">
      <c r="A67" s="296" t="s">
        <v>477</v>
      </c>
      <c r="B67" s="296"/>
      <c r="C67" s="296"/>
      <c r="D67" s="256"/>
      <c r="E67" s="256"/>
      <c r="F67" s="256"/>
      <c r="G67" s="256"/>
      <c r="H67" s="256"/>
      <c r="I67" s="256"/>
      <c r="J67" s="256"/>
      <c r="K67" s="256"/>
      <c r="L67" s="256"/>
      <c r="M67" s="256"/>
      <c r="N67" s="256"/>
      <c r="O67" s="256"/>
      <c r="P67" s="256"/>
      <c r="Q67" s="256"/>
      <c r="R67" s="256"/>
    </row>
    <row r="68" spans="1:18" ht="20.25" customHeight="1" x14ac:dyDescent="0.45">
      <c r="A68" s="303" t="s">
        <v>478</v>
      </c>
      <c r="B68" s="303"/>
      <c r="C68" s="303"/>
      <c r="D68" s="288" t="s">
        <v>68</v>
      </c>
      <c r="E68" s="288"/>
      <c r="F68" s="92"/>
      <c r="G68" s="253"/>
      <c r="H68" s="253"/>
      <c r="I68" s="253"/>
      <c r="J68" s="288" t="s">
        <v>68</v>
      </c>
      <c r="K68" s="288"/>
      <c r="L68" s="92"/>
      <c r="M68" s="253"/>
      <c r="N68" s="253"/>
      <c r="O68" s="253"/>
      <c r="P68" s="293">
        <v>20563</v>
      </c>
      <c r="Q68" s="293"/>
    </row>
  </sheetData>
  <mergeCells count="655">
    <mergeCell ref="S58:U58"/>
    <mergeCell ref="Y58:AA58"/>
    <mergeCell ref="AE58:AG58"/>
    <mergeCell ref="S57:U57"/>
    <mergeCell ref="V57:X57"/>
    <mergeCell ref="Y57:AA57"/>
    <mergeCell ref="AB57:AD57"/>
    <mergeCell ref="AE57:AG57"/>
    <mergeCell ref="AH57:AJ57"/>
    <mergeCell ref="AH55:AI55"/>
    <mergeCell ref="S56:U56"/>
    <mergeCell ref="V56:X56"/>
    <mergeCell ref="Y56:AA56"/>
    <mergeCell ref="AB56:AD56"/>
    <mergeCell ref="AE56:AG56"/>
    <mergeCell ref="AH56:AJ56"/>
    <mergeCell ref="S54:U54"/>
    <mergeCell ref="Y54:AA54"/>
    <mergeCell ref="AE54:AG54"/>
    <mergeCell ref="S55:U55"/>
    <mergeCell ref="V55:W55"/>
    <mergeCell ref="Y55:AA55"/>
    <mergeCell ref="AB55:AC55"/>
    <mergeCell ref="AE55:AG55"/>
    <mergeCell ref="S53:U53"/>
    <mergeCell ref="V53:X53"/>
    <mergeCell ref="Y53:AA53"/>
    <mergeCell ref="AB53:AD53"/>
    <mergeCell ref="AE53:AG53"/>
    <mergeCell ref="AH53:AJ53"/>
    <mergeCell ref="AH51:AJ51"/>
    <mergeCell ref="S52:U52"/>
    <mergeCell ref="V52:X52"/>
    <mergeCell ref="Y52:AA52"/>
    <mergeCell ref="AB52:AD52"/>
    <mergeCell ref="AE52:AG52"/>
    <mergeCell ref="AH52:AJ52"/>
    <mergeCell ref="S50:U50"/>
    <mergeCell ref="Y50:AA50"/>
    <mergeCell ref="AE50:AG50"/>
    <mergeCell ref="S51:U51"/>
    <mergeCell ref="V51:X51"/>
    <mergeCell ref="Y51:AA51"/>
    <mergeCell ref="AB51:AD51"/>
    <mergeCell ref="AE51:AG51"/>
    <mergeCell ref="S49:U49"/>
    <mergeCell ref="V49:W49"/>
    <mergeCell ref="Y49:AA49"/>
    <mergeCell ref="AB49:AC49"/>
    <mergeCell ref="AE49:AG49"/>
    <mergeCell ref="AH49:AI49"/>
    <mergeCell ref="S48:U48"/>
    <mergeCell ref="V48:W48"/>
    <mergeCell ref="Y48:AA48"/>
    <mergeCell ref="AB48:AC48"/>
    <mergeCell ref="AE48:AG48"/>
    <mergeCell ref="AH48:AI48"/>
    <mergeCell ref="S47:U47"/>
    <mergeCell ref="V47:W47"/>
    <mergeCell ref="Y47:AA47"/>
    <mergeCell ref="AB47:AC47"/>
    <mergeCell ref="AE47:AG47"/>
    <mergeCell ref="AH47:AI47"/>
    <mergeCell ref="S46:U46"/>
    <mergeCell ref="V46:X46"/>
    <mergeCell ref="Y46:AA46"/>
    <mergeCell ref="AB46:AD46"/>
    <mergeCell ref="AE46:AG46"/>
    <mergeCell ref="AH46:AJ46"/>
    <mergeCell ref="S45:U45"/>
    <mergeCell ref="V45:W45"/>
    <mergeCell ref="Y45:AA45"/>
    <mergeCell ref="AB45:AC45"/>
    <mergeCell ref="AE45:AG45"/>
    <mergeCell ref="AH45:AI45"/>
    <mergeCell ref="S44:U44"/>
    <mergeCell ref="V44:W44"/>
    <mergeCell ref="Y44:AA44"/>
    <mergeCell ref="AB44:AC44"/>
    <mergeCell ref="AE44:AG44"/>
    <mergeCell ref="AH44:AI44"/>
    <mergeCell ref="S43:U43"/>
    <mergeCell ref="V43:W43"/>
    <mergeCell ref="Y43:AA43"/>
    <mergeCell ref="AB43:AC43"/>
    <mergeCell ref="AE43:AG43"/>
    <mergeCell ref="AH43:AI43"/>
    <mergeCell ref="S42:U42"/>
    <mergeCell ref="V42:W42"/>
    <mergeCell ref="Y42:AA42"/>
    <mergeCell ref="AB42:AC42"/>
    <mergeCell ref="AE42:AG42"/>
    <mergeCell ref="AH42:AI42"/>
    <mergeCell ref="S41:U41"/>
    <mergeCell ref="V41:W41"/>
    <mergeCell ref="Y41:AA41"/>
    <mergeCell ref="AB41:AC41"/>
    <mergeCell ref="AE41:AG41"/>
    <mergeCell ref="AH41:AI41"/>
    <mergeCell ref="S40:U40"/>
    <mergeCell ref="V40:W40"/>
    <mergeCell ref="Y40:AA40"/>
    <mergeCell ref="AB40:AC40"/>
    <mergeCell ref="AE40:AG40"/>
    <mergeCell ref="AH40:AI40"/>
    <mergeCell ref="S39:U39"/>
    <mergeCell ref="V39:W39"/>
    <mergeCell ref="Y39:AA39"/>
    <mergeCell ref="AB39:AC39"/>
    <mergeCell ref="AE39:AG39"/>
    <mergeCell ref="AH39:AI39"/>
    <mergeCell ref="S38:U38"/>
    <mergeCell ref="V38:X38"/>
    <mergeCell ref="Y38:AA38"/>
    <mergeCell ref="AB38:AD38"/>
    <mergeCell ref="AE38:AG38"/>
    <mergeCell ref="AH38:AJ38"/>
    <mergeCell ref="S37:U37"/>
    <mergeCell ref="V37:X37"/>
    <mergeCell ref="Y37:AA37"/>
    <mergeCell ref="AB37:AD37"/>
    <mergeCell ref="AE37:AG37"/>
    <mergeCell ref="AH37:AJ37"/>
    <mergeCell ref="S36:U36"/>
    <mergeCell ref="V36:W36"/>
    <mergeCell ref="Y36:AA36"/>
    <mergeCell ref="AB36:AC36"/>
    <mergeCell ref="AE36:AG36"/>
    <mergeCell ref="AH36:AI36"/>
    <mergeCell ref="S35:U35"/>
    <mergeCell ref="V35:W35"/>
    <mergeCell ref="Y35:AA35"/>
    <mergeCell ref="AB35:AC35"/>
    <mergeCell ref="AE35:AG35"/>
    <mergeCell ref="AH35:AI35"/>
    <mergeCell ref="S34:U34"/>
    <mergeCell ref="V34:W34"/>
    <mergeCell ref="Y34:AA34"/>
    <mergeCell ref="AB34:AC34"/>
    <mergeCell ref="AE34:AG34"/>
    <mergeCell ref="AH34:AI34"/>
    <mergeCell ref="S33:U33"/>
    <mergeCell ref="V33:W33"/>
    <mergeCell ref="Y33:AA33"/>
    <mergeCell ref="AB33:AC33"/>
    <mergeCell ref="AE33:AG33"/>
    <mergeCell ref="AH33:AI33"/>
    <mergeCell ref="S32:U32"/>
    <mergeCell ref="V32:W32"/>
    <mergeCell ref="Y32:AA32"/>
    <mergeCell ref="AB32:AC32"/>
    <mergeCell ref="AE32:AG32"/>
    <mergeCell ref="AH32:AI32"/>
    <mergeCell ref="S31:U31"/>
    <mergeCell ref="V31:X31"/>
    <mergeCell ref="Y31:AA31"/>
    <mergeCell ref="AB31:AD31"/>
    <mergeCell ref="AE31:AG31"/>
    <mergeCell ref="AH31:AJ31"/>
    <mergeCell ref="S30:U30"/>
    <mergeCell ref="V30:X30"/>
    <mergeCell ref="Y30:AA30"/>
    <mergeCell ref="AB30:AD30"/>
    <mergeCell ref="AE30:AG30"/>
    <mergeCell ref="AH30:AJ30"/>
    <mergeCell ref="S29:U29"/>
    <mergeCell ref="V29:W29"/>
    <mergeCell ref="Y29:AA29"/>
    <mergeCell ref="AB29:AC29"/>
    <mergeCell ref="AE29:AG29"/>
    <mergeCell ref="AH29:AI29"/>
    <mergeCell ref="S28:U28"/>
    <mergeCell ref="V28:W28"/>
    <mergeCell ref="Y28:AA28"/>
    <mergeCell ref="AB28:AC28"/>
    <mergeCell ref="AE28:AG28"/>
    <mergeCell ref="AH28:AI28"/>
    <mergeCell ref="S27:U27"/>
    <mergeCell ref="V27:W27"/>
    <mergeCell ref="Y27:AA27"/>
    <mergeCell ref="AB27:AC27"/>
    <mergeCell ref="AE27:AG27"/>
    <mergeCell ref="AH27:AI27"/>
    <mergeCell ref="S26:U26"/>
    <mergeCell ref="V26:W26"/>
    <mergeCell ref="Y26:AA26"/>
    <mergeCell ref="AB26:AC26"/>
    <mergeCell ref="AE26:AG26"/>
    <mergeCell ref="AH26:AI26"/>
    <mergeCell ref="S25:U25"/>
    <mergeCell ref="V25:W25"/>
    <mergeCell ref="Y25:AA25"/>
    <mergeCell ref="AB25:AC25"/>
    <mergeCell ref="AE25:AG25"/>
    <mergeCell ref="AH25:AI25"/>
    <mergeCell ref="S24:U24"/>
    <mergeCell ref="V24:W24"/>
    <mergeCell ref="Y24:AA24"/>
    <mergeCell ref="AB24:AC24"/>
    <mergeCell ref="AE24:AG24"/>
    <mergeCell ref="AH24:AI24"/>
    <mergeCell ref="S23:U23"/>
    <mergeCell ref="V23:W23"/>
    <mergeCell ref="Y23:AA23"/>
    <mergeCell ref="AB23:AC23"/>
    <mergeCell ref="AE23:AG23"/>
    <mergeCell ref="AH23:AI23"/>
    <mergeCell ref="S22:U22"/>
    <mergeCell ref="V22:W22"/>
    <mergeCell ref="Y22:AA22"/>
    <mergeCell ref="AB22:AC22"/>
    <mergeCell ref="AE22:AG22"/>
    <mergeCell ref="AH22:AI22"/>
    <mergeCell ref="S21:U21"/>
    <mergeCell ref="V21:W21"/>
    <mergeCell ref="Y21:AA21"/>
    <mergeCell ref="AB21:AC21"/>
    <mergeCell ref="AE21:AG21"/>
    <mergeCell ref="AH21:AI21"/>
    <mergeCell ref="S20:U20"/>
    <mergeCell ref="V20:W20"/>
    <mergeCell ref="Y20:AA20"/>
    <mergeCell ref="AB20:AC20"/>
    <mergeCell ref="AE20:AG20"/>
    <mergeCell ref="AH20:AI20"/>
    <mergeCell ref="S19:U19"/>
    <mergeCell ref="V19:W19"/>
    <mergeCell ref="Y19:AA19"/>
    <mergeCell ref="AB19:AC19"/>
    <mergeCell ref="AE19:AG19"/>
    <mergeCell ref="AH19:AI19"/>
    <mergeCell ref="S18:U18"/>
    <mergeCell ref="V18:X18"/>
    <mergeCell ref="Y18:AA18"/>
    <mergeCell ref="AB18:AD18"/>
    <mergeCell ref="AE18:AG18"/>
    <mergeCell ref="AH18:AJ18"/>
    <mergeCell ref="S17:U17"/>
    <mergeCell ref="V17:W17"/>
    <mergeCell ref="Y17:AA17"/>
    <mergeCell ref="AB17:AC17"/>
    <mergeCell ref="AE17:AG17"/>
    <mergeCell ref="AH17:AI17"/>
    <mergeCell ref="S16:U16"/>
    <mergeCell ref="V16:W16"/>
    <mergeCell ref="Y16:AA16"/>
    <mergeCell ref="AB16:AC16"/>
    <mergeCell ref="AE16:AG16"/>
    <mergeCell ref="AH16:AI16"/>
    <mergeCell ref="S14:U14"/>
    <mergeCell ref="V14:W14"/>
    <mergeCell ref="Y14:AA14"/>
    <mergeCell ref="AB14:AC14"/>
    <mergeCell ref="AE14:AG14"/>
    <mergeCell ref="AH14:AI14"/>
    <mergeCell ref="S13:U13"/>
    <mergeCell ref="V13:W13"/>
    <mergeCell ref="Y13:AA13"/>
    <mergeCell ref="AB13:AC13"/>
    <mergeCell ref="AE13:AG13"/>
    <mergeCell ref="AH13:AI13"/>
    <mergeCell ref="S12:U12"/>
    <mergeCell ref="V12:W12"/>
    <mergeCell ref="Y12:AA12"/>
    <mergeCell ref="AB12:AC12"/>
    <mergeCell ref="AE12:AG12"/>
    <mergeCell ref="AH12:AI12"/>
    <mergeCell ref="S11:U11"/>
    <mergeCell ref="V11:W11"/>
    <mergeCell ref="Y11:AA11"/>
    <mergeCell ref="AB11:AC11"/>
    <mergeCell ref="AE11:AG11"/>
    <mergeCell ref="AH11:AI11"/>
    <mergeCell ref="S10:U10"/>
    <mergeCell ref="V10:W10"/>
    <mergeCell ref="Y10:AA10"/>
    <mergeCell ref="AB10:AC10"/>
    <mergeCell ref="AE10:AG10"/>
    <mergeCell ref="AH10:AI10"/>
    <mergeCell ref="AH8:AJ8"/>
    <mergeCell ref="S9:U9"/>
    <mergeCell ref="V9:W9"/>
    <mergeCell ref="Y9:AA9"/>
    <mergeCell ref="AB9:AC9"/>
    <mergeCell ref="AE9:AG9"/>
    <mergeCell ref="AH9:AI9"/>
    <mergeCell ref="S7:U7"/>
    <mergeCell ref="Y7:AA7"/>
    <mergeCell ref="AE7:AG7"/>
    <mergeCell ref="S8:U8"/>
    <mergeCell ref="V8:X8"/>
    <mergeCell ref="Y8:AA8"/>
    <mergeCell ref="AB8:AD8"/>
    <mergeCell ref="AE8:AG8"/>
    <mergeCell ref="S6:U6"/>
    <mergeCell ref="V6:X6"/>
    <mergeCell ref="Y6:AA6"/>
    <mergeCell ref="AB6:AD6"/>
    <mergeCell ref="AE6:AG6"/>
    <mergeCell ref="AH6:AJ6"/>
    <mergeCell ref="S4:U4"/>
    <mergeCell ref="V4:AJ4"/>
    <mergeCell ref="S5:U5"/>
    <mergeCell ref="V5:X5"/>
    <mergeCell ref="Y5:AA5"/>
    <mergeCell ref="AB5:AD5"/>
    <mergeCell ref="AE5:AG5"/>
    <mergeCell ref="AH5:AJ5"/>
    <mergeCell ref="A68:C68"/>
    <mergeCell ref="D68:E68"/>
    <mergeCell ref="G68:I68"/>
    <mergeCell ref="J68:K68"/>
    <mergeCell ref="M68:O68"/>
    <mergeCell ref="P68:Q68"/>
    <mergeCell ref="P66:Q66"/>
    <mergeCell ref="A67:C67"/>
    <mergeCell ref="D67:F67"/>
    <mergeCell ref="G67:I67"/>
    <mergeCell ref="J67:L67"/>
    <mergeCell ref="M67:O67"/>
    <mergeCell ref="P67:R67"/>
    <mergeCell ref="A65:C65"/>
    <mergeCell ref="G65:I65"/>
    <mergeCell ref="M65:O65"/>
    <mergeCell ref="A66:C66"/>
    <mergeCell ref="D66:E66"/>
    <mergeCell ref="G66:I66"/>
    <mergeCell ref="J66:K66"/>
    <mergeCell ref="M66:O66"/>
    <mergeCell ref="A64:C64"/>
    <mergeCell ref="D64:F64"/>
    <mergeCell ref="G64:I64"/>
    <mergeCell ref="J64:L64"/>
    <mergeCell ref="M64:O64"/>
    <mergeCell ref="P64:R64"/>
    <mergeCell ref="P59:R59"/>
    <mergeCell ref="A63:C63"/>
    <mergeCell ref="D63:F63"/>
    <mergeCell ref="G63:I63"/>
    <mergeCell ref="J63:L63"/>
    <mergeCell ref="M63:O63"/>
    <mergeCell ref="P63:R63"/>
    <mergeCell ref="A58:C58"/>
    <mergeCell ref="G58:I58"/>
    <mergeCell ref="M58:O58"/>
    <mergeCell ref="A59:C59"/>
    <mergeCell ref="D59:F59"/>
    <mergeCell ref="G59:I59"/>
    <mergeCell ref="J59:L59"/>
    <mergeCell ref="M59:O59"/>
    <mergeCell ref="A57:C57"/>
    <mergeCell ref="D57:E57"/>
    <mergeCell ref="G57:I57"/>
    <mergeCell ref="J57:K57"/>
    <mergeCell ref="M57:O57"/>
    <mergeCell ref="P57:Q57"/>
    <mergeCell ref="A56:C56"/>
    <mergeCell ref="D56:E56"/>
    <mergeCell ref="G56:I56"/>
    <mergeCell ref="J56:K56"/>
    <mergeCell ref="M56:O56"/>
    <mergeCell ref="P56:Q56"/>
    <mergeCell ref="A55:C55"/>
    <mergeCell ref="D55:E55"/>
    <mergeCell ref="G55:I55"/>
    <mergeCell ref="J55:K55"/>
    <mergeCell ref="M55:O55"/>
    <mergeCell ref="P55:Q55"/>
    <mergeCell ref="A54:C54"/>
    <mergeCell ref="D54:F54"/>
    <mergeCell ref="G54:I54"/>
    <mergeCell ref="J54:L54"/>
    <mergeCell ref="M54:O54"/>
    <mergeCell ref="P54:R54"/>
    <mergeCell ref="A53:C53"/>
    <mergeCell ref="D53:E53"/>
    <mergeCell ref="G53:I53"/>
    <mergeCell ref="J53:K53"/>
    <mergeCell ref="M53:O53"/>
    <mergeCell ref="P53:Q53"/>
    <mergeCell ref="A52:C52"/>
    <mergeCell ref="D52:F52"/>
    <mergeCell ref="G52:I52"/>
    <mergeCell ref="J52:L52"/>
    <mergeCell ref="M52:O52"/>
    <mergeCell ref="P52:R52"/>
    <mergeCell ref="A51:C51"/>
    <mergeCell ref="D51:E51"/>
    <mergeCell ref="G51:I51"/>
    <mergeCell ref="J51:K51"/>
    <mergeCell ref="M51:O51"/>
    <mergeCell ref="P51:Q51"/>
    <mergeCell ref="A50:C50"/>
    <mergeCell ref="D50:E50"/>
    <mergeCell ref="G50:I50"/>
    <mergeCell ref="J50:K50"/>
    <mergeCell ref="M50:O50"/>
    <mergeCell ref="P50:Q50"/>
    <mergeCell ref="A49:C49"/>
    <mergeCell ref="D49:E49"/>
    <mergeCell ref="G49:I49"/>
    <mergeCell ref="J49:K49"/>
    <mergeCell ref="M49:O49"/>
    <mergeCell ref="P49:Q49"/>
    <mergeCell ref="A48:C48"/>
    <mergeCell ref="D48:E48"/>
    <mergeCell ref="G48:I48"/>
    <mergeCell ref="J48:K48"/>
    <mergeCell ref="M48:O48"/>
    <mergeCell ref="P48:Q48"/>
    <mergeCell ref="A47:C47"/>
    <mergeCell ref="D47:E47"/>
    <mergeCell ref="G47:I47"/>
    <mergeCell ref="J47:K47"/>
    <mergeCell ref="M47:O47"/>
    <mergeCell ref="P47:Q47"/>
    <mergeCell ref="A46:C46"/>
    <mergeCell ref="D46:E46"/>
    <mergeCell ref="G46:I46"/>
    <mergeCell ref="J46:K46"/>
    <mergeCell ref="M46:O46"/>
    <mergeCell ref="P46:Q46"/>
    <mergeCell ref="A45:C45"/>
    <mergeCell ref="D45:E45"/>
    <mergeCell ref="G45:I45"/>
    <mergeCell ref="J45:K45"/>
    <mergeCell ref="M45:O45"/>
    <mergeCell ref="P45:Q45"/>
    <mergeCell ref="A44:C44"/>
    <mergeCell ref="D44:E44"/>
    <mergeCell ref="G44:I44"/>
    <mergeCell ref="J44:K44"/>
    <mergeCell ref="M44:O44"/>
    <mergeCell ref="P44:Q44"/>
    <mergeCell ref="A43:C43"/>
    <mergeCell ref="D43:E43"/>
    <mergeCell ref="G43:I43"/>
    <mergeCell ref="J43:K43"/>
    <mergeCell ref="M43:O43"/>
    <mergeCell ref="P43:Q43"/>
    <mergeCell ref="A42:C42"/>
    <mergeCell ref="D42:E42"/>
    <mergeCell ref="G42:I42"/>
    <mergeCell ref="J42:K42"/>
    <mergeCell ref="M42:O42"/>
    <mergeCell ref="P42:Q42"/>
    <mergeCell ref="A41:C41"/>
    <mergeCell ref="D41:F41"/>
    <mergeCell ref="G41:I41"/>
    <mergeCell ref="J41:L41"/>
    <mergeCell ref="M41:O41"/>
    <mergeCell ref="P41:R41"/>
    <mergeCell ref="A40:C40"/>
    <mergeCell ref="D40:F40"/>
    <mergeCell ref="G40:I40"/>
    <mergeCell ref="J40:L40"/>
    <mergeCell ref="M40:O40"/>
    <mergeCell ref="P40:R40"/>
    <mergeCell ref="A39:C39"/>
    <mergeCell ref="D39:E39"/>
    <mergeCell ref="G39:I39"/>
    <mergeCell ref="J39:K39"/>
    <mergeCell ref="M39:O39"/>
    <mergeCell ref="P39:Q39"/>
    <mergeCell ref="A38:C38"/>
    <mergeCell ref="D38:E38"/>
    <mergeCell ref="G38:I38"/>
    <mergeCell ref="J38:K38"/>
    <mergeCell ref="M38:O38"/>
    <mergeCell ref="P38:Q38"/>
    <mergeCell ref="A37:C37"/>
    <mergeCell ref="D37:E37"/>
    <mergeCell ref="G37:I37"/>
    <mergeCell ref="J37:K37"/>
    <mergeCell ref="M37:O37"/>
    <mergeCell ref="P37:Q37"/>
    <mergeCell ref="A36:C36"/>
    <mergeCell ref="D36:E36"/>
    <mergeCell ref="G36:I36"/>
    <mergeCell ref="J36:K36"/>
    <mergeCell ref="M36:O36"/>
    <mergeCell ref="P36:Q36"/>
    <mergeCell ref="A35:C35"/>
    <mergeCell ref="D35:E35"/>
    <mergeCell ref="G35:I35"/>
    <mergeCell ref="J35:K35"/>
    <mergeCell ref="M35:O35"/>
    <mergeCell ref="P35:Q35"/>
    <mergeCell ref="A34:C34"/>
    <mergeCell ref="D34:F34"/>
    <mergeCell ref="G34:I34"/>
    <mergeCell ref="J34:L34"/>
    <mergeCell ref="M34:O34"/>
    <mergeCell ref="P34:R34"/>
    <mergeCell ref="A33:C33"/>
    <mergeCell ref="D33:F33"/>
    <mergeCell ref="G33:I33"/>
    <mergeCell ref="J33:L33"/>
    <mergeCell ref="M33:O33"/>
    <mergeCell ref="P33:R33"/>
    <mergeCell ref="A32:C32"/>
    <mergeCell ref="D32:E32"/>
    <mergeCell ref="G32:I32"/>
    <mergeCell ref="J32:K32"/>
    <mergeCell ref="M32:O32"/>
    <mergeCell ref="P32:Q32"/>
    <mergeCell ref="A31:C31"/>
    <mergeCell ref="D31:E31"/>
    <mergeCell ref="G31:I31"/>
    <mergeCell ref="J31:K31"/>
    <mergeCell ref="M31:O31"/>
    <mergeCell ref="P31:Q31"/>
    <mergeCell ref="A30:C30"/>
    <mergeCell ref="D30:E30"/>
    <mergeCell ref="G30:I30"/>
    <mergeCell ref="J30:K30"/>
    <mergeCell ref="M30:O30"/>
    <mergeCell ref="P30:Q30"/>
    <mergeCell ref="A29:C29"/>
    <mergeCell ref="D29:E29"/>
    <mergeCell ref="G29:I29"/>
    <mergeCell ref="J29:K29"/>
    <mergeCell ref="M29:O29"/>
    <mergeCell ref="P29:Q29"/>
    <mergeCell ref="A28:C28"/>
    <mergeCell ref="D28:E28"/>
    <mergeCell ref="G28:I28"/>
    <mergeCell ref="J28:K28"/>
    <mergeCell ref="M28:O28"/>
    <mergeCell ref="P28:Q28"/>
    <mergeCell ref="A27:C27"/>
    <mergeCell ref="D27:E27"/>
    <mergeCell ref="G27:I27"/>
    <mergeCell ref="J27:K27"/>
    <mergeCell ref="M27:O27"/>
    <mergeCell ref="P27:Q27"/>
    <mergeCell ref="A26:C26"/>
    <mergeCell ref="D26:E26"/>
    <mergeCell ref="G26:I26"/>
    <mergeCell ref="J26:K26"/>
    <mergeCell ref="M26:O26"/>
    <mergeCell ref="P26:Q26"/>
    <mergeCell ref="A25:C25"/>
    <mergeCell ref="D25:E25"/>
    <mergeCell ref="G25:I25"/>
    <mergeCell ref="J25:K25"/>
    <mergeCell ref="M25:O25"/>
    <mergeCell ref="P25:Q25"/>
    <mergeCell ref="A24:C24"/>
    <mergeCell ref="D24:E24"/>
    <mergeCell ref="G24:I24"/>
    <mergeCell ref="J24:K24"/>
    <mergeCell ref="M24:O24"/>
    <mergeCell ref="P24:Q24"/>
    <mergeCell ref="A23:C23"/>
    <mergeCell ref="D23:E23"/>
    <mergeCell ref="G23:I23"/>
    <mergeCell ref="J23:K23"/>
    <mergeCell ref="M23:O23"/>
    <mergeCell ref="P23:Q23"/>
    <mergeCell ref="A22:C22"/>
    <mergeCell ref="D22:E22"/>
    <mergeCell ref="G22:I22"/>
    <mergeCell ref="J22:K22"/>
    <mergeCell ref="M22:O22"/>
    <mergeCell ref="P22:Q22"/>
    <mergeCell ref="A21:C21"/>
    <mergeCell ref="D21:F21"/>
    <mergeCell ref="G21:I21"/>
    <mergeCell ref="J21:L21"/>
    <mergeCell ref="M21:O21"/>
    <mergeCell ref="P21:R21"/>
    <mergeCell ref="A20:C20"/>
    <mergeCell ref="D20:E20"/>
    <mergeCell ref="G20:I20"/>
    <mergeCell ref="J20:K20"/>
    <mergeCell ref="M20:O20"/>
    <mergeCell ref="P20:Q20"/>
    <mergeCell ref="A19:C19"/>
    <mergeCell ref="D19:E19"/>
    <mergeCell ref="G19:I19"/>
    <mergeCell ref="J19:K19"/>
    <mergeCell ref="M19:O19"/>
    <mergeCell ref="P19:Q19"/>
    <mergeCell ref="A18:C18"/>
    <mergeCell ref="D18:E18"/>
    <mergeCell ref="G18:I18"/>
    <mergeCell ref="J18:K18"/>
    <mergeCell ref="M18:O18"/>
    <mergeCell ref="P18:Q18"/>
    <mergeCell ref="A17:C17"/>
    <mergeCell ref="D17:E17"/>
    <mergeCell ref="G17:I17"/>
    <mergeCell ref="J17:K17"/>
    <mergeCell ref="M17:O17"/>
    <mergeCell ref="P17:Q17"/>
    <mergeCell ref="A16:C16"/>
    <mergeCell ref="D16:E16"/>
    <mergeCell ref="G16:I16"/>
    <mergeCell ref="J16:K16"/>
    <mergeCell ref="M16:O16"/>
    <mergeCell ref="P16:Q16"/>
    <mergeCell ref="A14:C14"/>
    <mergeCell ref="D14:E14"/>
    <mergeCell ref="G14:I14"/>
    <mergeCell ref="J14:K14"/>
    <mergeCell ref="M14:O14"/>
    <mergeCell ref="P14:Q14"/>
    <mergeCell ref="A12:C12"/>
    <mergeCell ref="D12:E12"/>
    <mergeCell ref="G12:I12"/>
    <mergeCell ref="J12:K12"/>
    <mergeCell ref="M12:O12"/>
    <mergeCell ref="P12:Q12"/>
    <mergeCell ref="A11:C11"/>
    <mergeCell ref="D11:E11"/>
    <mergeCell ref="G11:I11"/>
    <mergeCell ref="J11:K11"/>
    <mergeCell ref="M11:O11"/>
    <mergeCell ref="P11:Q11"/>
    <mergeCell ref="A10:C10"/>
    <mergeCell ref="D10:E10"/>
    <mergeCell ref="G10:I10"/>
    <mergeCell ref="J10:K10"/>
    <mergeCell ref="M10:O10"/>
    <mergeCell ref="P10:Q10"/>
    <mergeCell ref="P8:R8"/>
    <mergeCell ref="A9:C9"/>
    <mergeCell ref="D9:E9"/>
    <mergeCell ref="G9:I9"/>
    <mergeCell ref="J9:K9"/>
    <mergeCell ref="M9:O9"/>
    <mergeCell ref="P9:Q9"/>
    <mergeCell ref="A7:C7"/>
    <mergeCell ref="G7:I7"/>
    <mergeCell ref="M7:O7"/>
    <mergeCell ref="A8:C8"/>
    <mergeCell ref="D8:F8"/>
    <mergeCell ref="G8:I8"/>
    <mergeCell ref="J8:L8"/>
    <mergeCell ref="M8:O8"/>
    <mergeCell ref="A6:C6"/>
    <mergeCell ref="D6:F6"/>
    <mergeCell ref="G6:I6"/>
    <mergeCell ref="J6:L6"/>
    <mergeCell ref="M6:O6"/>
    <mergeCell ref="P6:R6"/>
    <mergeCell ref="A4:C4"/>
    <mergeCell ref="D4:R4"/>
    <mergeCell ref="A5:C5"/>
    <mergeCell ref="D5:F5"/>
    <mergeCell ref="G5:I5"/>
    <mergeCell ref="J5:L5"/>
    <mergeCell ref="M5:O5"/>
    <mergeCell ref="P5:R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cover</vt:lpstr>
      <vt:lpstr>dcf</vt:lpstr>
      <vt:lpstr>wacc</vt:lpstr>
      <vt:lpstr>cf</vt:lpstr>
      <vt:lpstr>segments </vt:lpstr>
      <vt:lpstr>is</vt:lpstr>
      <vt:lpstr>segments (raw)</vt:lpstr>
      <vt:lpstr>is (raw)</vt:lpstr>
      <vt:lpstr>cf (raw)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Troy Slack</dc:creator>
  <cp:lastModifiedBy>Troy Slack</cp:lastModifiedBy>
  <dcterms:created xsi:type="dcterms:W3CDTF">2026-07-20T17:12:26Z</dcterms:created>
  <dcterms:modified xsi:type="dcterms:W3CDTF">2026-07-29T00:32:49Z</dcterms:modified>
</cp:coreProperties>
</file>